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60" windowWidth="19440" windowHeight="9336" tabRatio="761"/>
  </bookViews>
  <sheets>
    <sheet name="Coversheet" sheetId="4" r:id="rId1"/>
    <sheet name="Summary" sheetId="1" r:id="rId2"/>
    <sheet name="Water and power req" sheetId="8" r:id="rId3"/>
    <sheet name="Tariffs" sheetId="9" r:id="rId4"/>
    <sheet name="Cost of Supply" sheetId="2" r:id="rId5"/>
    <sheet name="Capital &amp; operating cost solar" sheetId="3" r:id="rId6"/>
    <sheet name="Reliability" sheetId="5" r:id="rId7"/>
    <sheet name="Sensitivity Analysis" sheetId="6" r:id="rId8"/>
  </sheets>
  <definedNames>
    <definedName name="solver_adj" localSheetId="1" hidden="1">Summary!$F$11</definedName>
    <definedName name="solver_cvg" localSheetId="1" hidden="1">0.0001</definedName>
    <definedName name="solver_drv" localSheetId="1" hidden="1">1</definedName>
    <definedName name="solver_eng" localSheetId="4" hidden="1">1</definedName>
    <definedName name="solver_eng" localSheetId="1" hidden="1">1</definedName>
    <definedName name="solver_est" localSheetId="1" hidden="1">1</definedName>
    <definedName name="solver_itr" localSheetId="1" hidden="1">100</definedName>
    <definedName name="solver_lhs1" localSheetId="1" hidden="1">Summary!$F$11</definedName>
    <definedName name="solver_lhs2" localSheetId="1" hidden="1">Summary!$F$11</definedName>
    <definedName name="solver_lin" localSheetId="1" hidden="1">2</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2</definedName>
    <definedName name="solver_nwt" localSheetId="1" hidden="1">1</definedName>
    <definedName name="solver_opt" localSheetId="4" hidden="1">'Cost of Supply'!#REF!</definedName>
    <definedName name="solver_opt" localSheetId="1" hidden="1">Summary!$F$57</definedName>
    <definedName name="solver_pre" localSheetId="1" hidden="1">0.000001</definedName>
    <definedName name="solver_rbv" localSheetId="1" hidden="1">2</definedName>
    <definedName name="solver_rel1" localSheetId="1" hidden="1">1</definedName>
    <definedName name="solver_rel2" localSheetId="1" hidden="1">4</definedName>
    <definedName name="solver_rhs1" localSheetId="1" hidden="1">200</definedName>
    <definedName name="solver_rhs2" localSheetId="1" hidden="1">integer</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100</definedName>
    <definedName name="solver_tol" localSheetId="1" hidden="1">0.05</definedName>
    <definedName name="solver_typ" localSheetId="4" hidden="1">1</definedName>
    <definedName name="solver_typ" localSheetId="1" hidden="1">2</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25725"/>
</workbook>
</file>

<file path=xl/calcChain.xml><?xml version="1.0" encoding="utf-8"?>
<calcChain xmlns="http://schemas.openxmlformats.org/spreadsheetml/2006/main">
  <c r="F9" i="9"/>
  <c r="C2" i="2"/>
  <c r="D63" i="9"/>
  <c r="F5" i="1"/>
  <c r="F16" s="1"/>
  <c r="F55" s="1"/>
  <c r="E7" i="9"/>
  <c r="F9" i="1"/>
  <c r="F26" l="1"/>
  <c r="F36"/>
  <c r="B65" i="2"/>
  <c r="B80" s="1"/>
  <c r="B64"/>
  <c r="B79" s="1"/>
  <c r="B66"/>
  <c r="B81" s="1"/>
  <c r="B67"/>
  <c r="B82" s="1"/>
  <c r="B68"/>
  <c r="B83" s="1"/>
  <c r="B72"/>
  <c r="B87" s="1"/>
  <c r="Q62"/>
  <c r="Q77" s="1"/>
  <c r="B55"/>
  <c r="B70" s="1"/>
  <c r="B85" s="1"/>
  <c r="B56"/>
  <c r="B60" s="1"/>
  <c r="B75" s="1"/>
  <c r="B90" s="1"/>
  <c r="B54"/>
  <c r="B58" s="1"/>
  <c r="B73" s="1"/>
  <c r="B88" s="1"/>
  <c r="B48"/>
  <c r="B69" l="1"/>
  <c r="B84" s="1"/>
  <c r="B59"/>
  <c r="B74" s="1"/>
  <c r="B89" s="1"/>
  <c r="B71"/>
  <c r="B86" s="1"/>
  <c r="F74" i="3" l="1"/>
  <c r="G74"/>
  <c r="E74"/>
  <c r="H95" i="2"/>
  <c r="I95"/>
  <c r="J95"/>
  <c r="K95"/>
  <c r="L95"/>
  <c r="M95"/>
  <c r="N95"/>
  <c r="O95"/>
  <c r="G95"/>
  <c r="F51" i="1" s="1"/>
  <c r="J18" i="6" l="1"/>
  <c r="J19"/>
  <c r="J20"/>
  <c r="J17"/>
  <c r="B109" i="2" l="1"/>
  <c r="B110"/>
  <c r="B111"/>
  <c r="B112"/>
  <c r="B113"/>
  <c r="B114"/>
  <c r="B108"/>
  <c r="G4"/>
  <c r="H4"/>
  <c r="I4"/>
  <c r="J4"/>
  <c r="K4"/>
  <c r="J50" l="1"/>
  <c r="J65" s="1"/>
  <c r="J80" s="1"/>
  <c r="J54"/>
  <c r="J69" s="1"/>
  <c r="J84" s="1"/>
  <c r="J58"/>
  <c r="J73" s="1"/>
  <c r="J88" s="1"/>
  <c r="H50"/>
  <c r="H65" s="1"/>
  <c r="H80" s="1"/>
  <c r="H54"/>
  <c r="H69" s="1"/>
  <c r="H84" s="1"/>
  <c r="H58"/>
  <c r="H73" s="1"/>
  <c r="H88" s="1"/>
  <c r="G54"/>
  <c r="G69" s="1"/>
  <c r="G84" s="1"/>
  <c r="G50"/>
  <c r="G65" s="1"/>
  <c r="G80" s="1"/>
  <c r="G58"/>
  <c r="G73" s="1"/>
  <c r="G88" s="1"/>
  <c r="I50"/>
  <c r="I65" s="1"/>
  <c r="I80" s="1"/>
  <c r="I54"/>
  <c r="I69" s="1"/>
  <c r="I84" s="1"/>
  <c r="I58"/>
  <c r="I73" s="1"/>
  <c r="I88" s="1"/>
  <c r="K50"/>
  <c r="K65" s="1"/>
  <c r="K80" s="1"/>
  <c r="K54"/>
  <c r="K69" s="1"/>
  <c r="K84" s="1"/>
  <c r="K58"/>
  <c r="K73" s="1"/>
  <c r="K88" s="1"/>
  <c r="F52" i="1"/>
  <c r="B53"/>
  <c r="B50"/>
  <c r="B192" i="2"/>
  <c r="B193"/>
  <c r="B194"/>
  <c r="B191"/>
  <c r="Q137"/>
  <c r="D88" i="3"/>
  <c r="B89"/>
  <c r="C15" i="8"/>
  <c r="C16"/>
  <c r="D87" i="3"/>
  <c r="Q19" i="2"/>
  <c r="D90" i="3" l="1"/>
  <c r="D91" s="1"/>
  <c r="D89"/>
  <c r="F26" i="8" l="1"/>
  <c r="D86" i="3" l="1"/>
  <c r="D93" s="1"/>
  <c r="F58" i="1" s="1"/>
  <c r="D7" i="3"/>
  <c r="G149" i="2" l="1"/>
  <c r="I51" i="9"/>
  <c r="L149" i="2" l="1"/>
  <c r="I149"/>
  <c r="J149"/>
  <c r="M149"/>
  <c r="K149"/>
  <c r="O149"/>
  <c r="H149"/>
  <c r="N149"/>
  <c r="Q149" l="1"/>
  <c r="G69" i="9"/>
  <c r="G68"/>
  <c r="I56"/>
  <c r="F116" i="2"/>
  <c r="F137" s="1"/>
  <c r="G116"/>
  <c r="G137" s="1"/>
  <c r="H116"/>
  <c r="H137" s="1"/>
  <c r="I116"/>
  <c r="I137" s="1"/>
  <c r="J116"/>
  <c r="J137" s="1"/>
  <c r="K116"/>
  <c r="K137" s="1"/>
  <c r="L116"/>
  <c r="L137" s="1"/>
  <c r="M116"/>
  <c r="M137" s="1"/>
  <c r="N116"/>
  <c r="N137" s="1"/>
  <c r="O116"/>
  <c r="O137" s="1"/>
  <c r="P116"/>
  <c r="P137" s="1"/>
  <c r="E116"/>
  <c r="E137" s="1"/>
  <c r="F98"/>
  <c r="F107" s="1"/>
  <c r="G98"/>
  <c r="G107" s="1"/>
  <c r="H98"/>
  <c r="H107" s="1"/>
  <c r="I98"/>
  <c r="I107" s="1"/>
  <c r="J98"/>
  <c r="J107" s="1"/>
  <c r="K98"/>
  <c r="K107" s="1"/>
  <c r="L98"/>
  <c r="L107" s="1"/>
  <c r="M98"/>
  <c r="M107" s="1"/>
  <c r="N98"/>
  <c r="N107" s="1"/>
  <c r="O98"/>
  <c r="O107" s="1"/>
  <c r="P98"/>
  <c r="P107" s="1"/>
  <c r="E98"/>
  <c r="E107" s="1"/>
  <c r="F92"/>
  <c r="G92"/>
  <c r="H92"/>
  <c r="I92"/>
  <c r="J92"/>
  <c r="K92"/>
  <c r="L92"/>
  <c r="M92"/>
  <c r="N92"/>
  <c r="O92"/>
  <c r="P92"/>
  <c r="E92"/>
  <c r="F35"/>
  <c r="F47" s="1"/>
  <c r="F62" s="1"/>
  <c r="F77" s="1"/>
  <c r="G35"/>
  <c r="G47" s="1"/>
  <c r="G62" s="1"/>
  <c r="G77" s="1"/>
  <c r="H35"/>
  <c r="H47" s="1"/>
  <c r="H62" s="1"/>
  <c r="H77" s="1"/>
  <c r="I35"/>
  <c r="I47" s="1"/>
  <c r="I62" s="1"/>
  <c r="I77" s="1"/>
  <c r="J35"/>
  <c r="J47" s="1"/>
  <c r="J62" s="1"/>
  <c r="J77" s="1"/>
  <c r="K35"/>
  <c r="K47" s="1"/>
  <c r="K62" s="1"/>
  <c r="K77" s="1"/>
  <c r="L35"/>
  <c r="L47" s="1"/>
  <c r="L62" s="1"/>
  <c r="L77" s="1"/>
  <c r="M35"/>
  <c r="M47" s="1"/>
  <c r="M62" s="1"/>
  <c r="M77" s="1"/>
  <c r="N35"/>
  <c r="N47" s="1"/>
  <c r="N62" s="1"/>
  <c r="N77" s="1"/>
  <c r="O35"/>
  <c r="O47" s="1"/>
  <c r="O62" s="1"/>
  <c r="O77" s="1"/>
  <c r="P35"/>
  <c r="P47" s="1"/>
  <c r="P62" s="1"/>
  <c r="P77" s="1"/>
  <c r="E35"/>
  <c r="E47" s="1"/>
  <c r="E62" s="1"/>
  <c r="E77" s="1"/>
  <c r="F19"/>
  <c r="G19"/>
  <c r="H19"/>
  <c r="I19"/>
  <c r="J19"/>
  <c r="K19"/>
  <c r="L19"/>
  <c r="M19"/>
  <c r="N19"/>
  <c r="O19"/>
  <c r="P19"/>
  <c r="E19"/>
  <c r="P26" l="1"/>
  <c r="P13"/>
  <c r="O26"/>
  <c r="O13"/>
  <c r="G26"/>
  <c r="G13"/>
  <c r="N26"/>
  <c r="N13"/>
  <c r="F26"/>
  <c r="F13"/>
  <c r="E26"/>
  <c r="E13"/>
  <c r="J26"/>
  <c r="J13"/>
  <c r="H26"/>
  <c r="H13"/>
  <c r="L26"/>
  <c r="L13"/>
  <c r="I26"/>
  <c r="I13"/>
  <c r="M26"/>
  <c r="M13"/>
  <c r="K26"/>
  <c r="K13"/>
  <c r="C27" i="9"/>
  <c r="D27" s="1"/>
  <c r="I55"/>
  <c r="F7" l="1"/>
  <c r="D8" i="3"/>
  <c r="D18" i="9"/>
  <c r="F14"/>
  <c r="D14"/>
  <c r="D13"/>
  <c r="D12"/>
  <c r="F11"/>
  <c r="D11"/>
  <c r="E9"/>
  <c r="D9"/>
  <c r="D8"/>
  <c r="D7"/>
  <c r="F6"/>
  <c r="F18" s="1"/>
  <c r="E6"/>
  <c r="D6"/>
  <c r="G70" l="1"/>
  <c r="I57"/>
  <c r="P23" i="8" l="1"/>
  <c r="P24"/>
  <c r="P25"/>
  <c r="P21"/>
  <c r="P22"/>
  <c r="C13" l="1"/>
  <c r="C10"/>
  <c r="C9"/>
  <c r="B10" i="1"/>
  <c r="B9"/>
  <c r="C11" i="8" l="1"/>
  <c r="C12" s="1"/>
  <c r="G28" i="2"/>
  <c r="O28"/>
  <c r="I28"/>
  <c r="M28"/>
  <c r="J28"/>
  <c r="N28"/>
  <c r="L28"/>
  <c r="K28"/>
  <c r="H28"/>
  <c r="I14" l="1"/>
  <c r="I16" s="1"/>
  <c r="H14"/>
  <c r="H16" s="1"/>
  <c r="O14"/>
  <c r="O16" s="1"/>
  <c r="G14"/>
  <c r="G16" s="1"/>
  <c r="G11" i="1" s="1"/>
  <c r="N14" i="2"/>
  <c r="N16" s="1"/>
  <c r="M14"/>
  <c r="M16" s="1"/>
  <c r="L14"/>
  <c r="L16" s="1"/>
  <c r="K14"/>
  <c r="K16" s="1"/>
  <c r="C151" i="1" s="1"/>
  <c r="C152" s="1"/>
  <c r="C153" s="1"/>
  <c r="C154" s="1"/>
  <c r="C155" s="1"/>
  <c r="C156" s="1"/>
  <c r="C157" s="1"/>
  <c r="C158" s="1"/>
  <c r="C159" s="1"/>
  <c r="C160" s="1"/>
  <c r="C161" s="1"/>
  <c r="C162" s="1"/>
  <c r="C163" s="1"/>
  <c r="C164" s="1"/>
  <c r="C165" s="1"/>
  <c r="C166" s="1"/>
  <c r="C167" s="1"/>
  <c r="C168" s="1"/>
  <c r="C169" s="1"/>
  <c r="C170" s="1"/>
  <c r="C171" s="1"/>
  <c r="C172" s="1"/>
  <c r="C173" s="1"/>
  <c r="C174" s="1"/>
  <c r="C175" s="1"/>
  <c r="C176" s="1"/>
  <c r="C177" s="1"/>
  <c r="C178" s="1"/>
  <c r="C179" s="1"/>
  <c r="C180" s="1"/>
  <c r="C181" s="1"/>
  <c r="C182" s="1"/>
  <c r="C183" s="1"/>
  <c r="C184" s="1"/>
  <c r="C185" s="1"/>
  <c r="C186" s="1"/>
  <c r="C187" s="1"/>
  <c r="C188" s="1"/>
  <c r="C189" s="1"/>
  <c r="C190" s="1"/>
  <c r="C191" s="1"/>
  <c r="C192" s="1"/>
  <c r="C193" s="1"/>
  <c r="C194" s="1"/>
  <c r="C195" s="1"/>
  <c r="C196" s="1"/>
  <c r="C197" s="1"/>
  <c r="C198" s="1"/>
  <c r="C199" s="1"/>
  <c r="C200" s="1"/>
  <c r="C201" s="1"/>
  <c r="C202" s="1"/>
  <c r="C203" s="1"/>
  <c r="C204" s="1"/>
  <c r="C205" s="1"/>
  <c r="C206" s="1"/>
  <c r="C207" s="1"/>
  <c r="C208" s="1"/>
  <c r="C209" s="1"/>
  <c r="C210" s="1"/>
  <c r="C211" s="1"/>
  <c r="C212" s="1"/>
  <c r="C213" s="1"/>
  <c r="C214" s="1"/>
  <c r="C215" s="1"/>
  <c r="C216" s="1"/>
  <c r="C217" s="1"/>
  <c r="C218" s="1"/>
  <c r="C219" s="1"/>
  <c r="C220" s="1"/>
  <c r="C221" s="1"/>
  <c r="C222" s="1"/>
  <c r="C223" s="1"/>
  <c r="C224" s="1"/>
  <c r="C225" s="1"/>
  <c r="C226" s="1"/>
  <c r="C227" s="1"/>
  <c r="C228" s="1"/>
  <c r="C229" s="1"/>
  <c r="C230" s="1"/>
  <c r="C231" s="1"/>
  <c r="C232" s="1"/>
  <c r="C233" s="1"/>
  <c r="C234" s="1"/>
  <c r="C235" s="1"/>
  <c r="C236" s="1"/>
  <c r="C237" s="1"/>
  <c r="C238" s="1"/>
  <c r="C239" s="1"/>
  <c r="C240" s="1"/>
  <c r="C241" s="1"/>
  <c r="C242" s="1"/>
  <c r="C243" s="1"/>
  <c r="C244" s="1"/>
  <c r="C245" s="1"/>
  <c r="C246" s="1"/>
  <c r="C247" s="1"/>
  <c r="C248" s="1"/>
  <c r="C249" s="1"/>
  <c r="C250" s="1"/>
  <c r="C251" s="1"/>
  <c r="C252" s="1"/>
  <c r="C253" s="1"/>
  <c r="C254" s="1"/>
  <c r="C255" s="1"/>
  <c r="C256" s="1"/>
  <c r="C257" s="1"/>
  <c r="C258" s="1"/>
  <c r="C259" s="1"/>
  <c r="C260" s="1"/>
  <c r="C261" s="1"/>
  <c r="C262" s="1"/>
  <c r="C263" s="1"/>
  <c r="C264" s="1"/>
  <c r="C265" s="1"/>
  <c r="C266" s="1"/>
  <c r="C267" s="1"/>
  <c r="C268" s="1"/>
  <c r="C269" s="1"/>
  <c r="C270" s="1"/>
  <c r="C271" s="1"/>
  <c r="C272" s="1"/>
  <c r="C273" s="1"/>
  <c r="C274" s="1"/>
  <c r="C275" s="1"/>
  <c r="C276" s="1"/>
  <c r="C277" s="1"/>
  <c r="C278" s="1"/>
  <c r="C279" s="1"/>
  <c r="C280" s="1"/>
  <c r="C281" s="1"/>
  <c r="C282" s="1"/>
  <c r="C283" s="1"/>
  <c r="C284" s="1"/>
  <c r="C285" s="1"/>
  <c r="C286" s="1"/>
  <c r="C287" s="1"/>
  <c r="C288" s="1"/>
  <c r="C289" s="1"/>
  <c r="C290" s="1"/>
  <c r="C291" s="1"/>
  <c r="C292" s="1"/>
  <c r="C293" s="1"/>
  <c r="C294" s="1"/>
  <c r="C295" s="1"/>
  <c r="C296" s="1"/>
  <c r="C297" s="1"/>
  <c r="C298" s="1"/>
  <c r="C299" s="1"/>
  <c r="C300" s="1"/>
  <c r="C301" s="1"/>
  <c r="C302" s="1"/>
  <c r="C303" s="1"/>
  <c r="C304" s="1"/>
  <c r="C305" s="1"/>
  <c r="C306" s="1"/>
  <c r="C307" s="1"/>
  <c r="C308" s="1"/>
  <c r="C309" s="1"/>
  <c r="C310" s="1"/>
  <c r="C311" s="1"/>
  <c r="C312" s="1"/>
  <c r="C313" s="1"/>
  <c r="C314" s="1"/>
  <c r="C315" s="1"/>
  <c r="C316" s="1"/>
  <c r="C317" s="1"/>
  <c r="C318" s="1"/>
  <c r="C319" s="1"/>
  <c r="C320" s="1"/>
  <c r="C321" s="1"/>
  <c r="C322" s="1"/>
  <c r="C323" s="1"/>
  <c r="C324" s="1"/>
  <c r="C325" s="1"/>
  <c r="J14" i="2"/>
  <c r="J16" s="1"/>
  <c r="B64" i="9"/>
  <c r="B65"/>
  <c r="B66"/>
  <c r="B67"/>
  <c r="D10" i="3" l="1"/>
  <c r="C14" i="8"/>
  <c r="C26" i="9"/>
  <c r="J9" i="2" l="1"/>
  <c r="J10" s="1"/>
  <c r="K9"/>
  <c r="K10" s="1"/>
  <c r="L9"/>
  <c r="L10" s="1"/>
  <c r="M9"/>
  <c r="M10" s="1"/>
  <c r="N9"/>
  <c r="N10" s="1"/>
  <c r="O9"/>
  <c r="O10" s="1"/>
  <c r="H9"/>
  <c r="H10" s="1"/>
  <c r="G9"/>
  <c r="G10" s="1"/>
  <c r="I9"/>
  <c r="I10" s="1"/>
  <c r="D26" i="9"/>
  <c r="B22"/>
  <c r="B36" i="2"/>
  <c r="P29" i="8"/>
  <c r="H27" i="2"/>
  <c r="I27"/>
  <c r="J27"/>
  <c r="L4"/>
  <c r="M4"/>
  <c r="N4"/>
  <c r="O4"/>
  <c r="G27"/>
  <c r="L54" l="1"/>
  <c r="L69" s="1"/>
  <c r="L84" s="1"/>
  <c r="L58"/>
  <c r="L73" s="1"/>
  <c r="L88" s="1"/>
  <c r="N58"/>
  <c r="N73" s="1"/>
  <c r="N88" s="1"/>
  <c r="N54"/>
  <c r="N69" s="1"/>
  <c r="N84" s="1"/>
  <c r="O58"/>
  <c r="O73" s="1"/>
  <c r="O88" s="1"/>
  <c r="O54"/>
  <c r="O69" s="1"/>
  <c r="O84" s="1"/>
  <c r="M54"/>
  <c r="M69" s="1"/>
  <c r="M84" s="1"/>
  <c r="M58"/>
  <c r="M73" s="1"/>
  <c r="M88" s="1"/>
  <c r="N27"/>
  <c r="N50"/>
  <c r="N65" s="1"/>
  <c r="N80" s="1"/>
  <c r="M27"/>
  <c r="M50"/>
  <c r="M65" s="1"/>
  <c r="M80" s="1"/>
  <c r="O27"/>
  <c r="O50"/>
  <c r="O65" s="1"/>
  <c r="O80" s="1"/>
  <c r="L27"/>
  <c r="L50"/>
  <c r="L65" s="1"/>
  <c r="L80" s="1"/>
  <c r="I20"/>
  <c r="L20"/>
  <c r="K29"/>
  <c r="K20"/>
  <c r="H20"/>
  <c r="Q9"/>
  <c r="G29"/>
  <c r="G30" s="1"/>
  <c r="G20"/>
  <c r="J20"/>
  <c r="M20"/>
  <c r="N20"/>
  <c r="O29"/>
  <c r="O20"/>
  <c r="K27"/>
  <c r="K37"/>
  <c r="J37"/>
  <c r="I39"/>
  <c r="Q4"/>
  <c r="K41"/>
  <c r="K39"/>
  <c r="H39"/>
  <c r="O39"/>
  <c r="N39"/>
  <c r="M39"/>
  <c r="J39"/>
  <c r="G39"/>
  <c r="L39"/>
  <c r="I37"/>
  <c r="L37"/>
  <c r="N43"/>
  <c r="H37"/>
  <c r="J43"/>
  <c r="N41"/>
  <c r="G37"/>
  <c r="J41"/>
  <c r="O37"/>
  <c r="G41"/>
  <c r="M37"/>
  <c r="O43"/>
  <c r="O41"/>
  <c r="M43"/>
  <c r="M41"/>
  <c r="L43"/>
  <c r="L41"/>
  <c r="K43"/>
  <c r="I43"/>
  <c r="I41"/>
  <c r="N37"/>
  <c r="G43"/>
  <c r="H43"/>
  <c r="H41"/>
  <c r="O30" l="1"/>
  <c r="K30"/>
  <c r="C22" i="9"/>
  <c r="D22" l="1"/>
  <c r="C28"/>
  <c r="D28" s="1"/>
  <c r="C24"/>
  <c r="D24" s="1"/>
  <c r="C23"/>
  <c r="D23" s="1"/>
  <c r="C25"/>
  <c r="D25" s="1"/>
  <c r="B24"/>
  <c r="B25"/>
  <c r="B23"/>
  <c r="B21" i="2"/>
  <c r="M26" i="8" l="1"/>
  <c r="C26" l="1"/>
  <c r="N26"/>
  <c r="N30" s="1"/>
  <c r="N31" s="1"/>
  <c r="M30"/>
  <c r="M31" s="1"/>
  <c r="L26"/>
  <c r="L30" s="1"/>
  <c r="L31" s="1"/>
  <c r="K26"/>
  <c r="K30" s="1"/>
  <c r="K31" s="1"/>
  <c r="J26"/>
  <c r="J30" s="1"/>
  <c r="J31" s="1"/>
  <c r="I26"/>
  <c r="I30" s="1"/>
  <c r="I31" s="1"/>
  <c r="H26"/>
  <c r="H30" s="1"/>
  <c r="H31" s="1"/>
  <c r="G26"/>
  <c r="G30" s="1"/>
  <c r="G31" s="1"/>
  <c r="F30"/>
  <c r="N35"/>
  <c r="M35"/>
  <c r="L35"/>
  <c r="K35"/>
  <c r="J35"/>
  <c r="I35"/>
  <c r="H35"/>
  <c r="G35"/>
  <c r="F35"/>
  <c r="P34"/>
  <c r="F31" l="1"/>
  <c r="P31" s="1"/>
  <c r="P30"/>
  <c r="P26"/>
  <c r="H38"/>
  <c r="H39" s="1"/>
  <c r="I6" i="2" s="1"/>
  <c r="I36" s="1"/>
  <c r="I40" s="1"/>
  <c r="L38" i="8"/>
  <c r="L39" s="1"/>
  <c r="M6" i="2" s="1"/>
  <c r="M36" s="1"/>
  <c r="M40" s="1"/>
  <c r="J38" i="8"/>
  <c r="J39" s="1"/>
  <c r="K6" i="2" s="1"/>
  <c r="K36" s="1"/>
  <c r="K38" i="8"/>
  <c r="K39" s="1"/>
  <c r="L6" i="2" s="1"/>
  <c r="L36" s="1"/>
  <c r="L40" s="1"/>
  <c r="M38" i="8"/>
  <c r="M39" s="1"/>
  <c r="N6" i="2" s="1"/>
  <c r="N36" s="1"/>
  <c r="N40" s="1"/>
  <c r="N38" i="8"/>
  <c r="N39" s="1"/>
  <c r="O6" i="2" s="1"/>
  <c r="O36" s="1"/>
  <c r="O40" s="1"/>
  <c r="G38" i="8"/>
  <c r="G39" s="1"/>
  <c r="H6" i="2" s="1"/>
  <c r="H36" s="1"/>
  <c r="H40" s="1"/>
  <c r="P35" i="8"/>
  <c r="I38"/>
  <c r="I39" s="1"/>
  <c r="J6" i="2" s="1"/>
  <c r="J36" l="1"/>
  <c r="J40" s="1"/>
  <c r="J7"/>
  <c r="J48" s="1"/>
  <c r="K42"/>
  <c r="K40"/>
  <c r="F38" i="8"/>
  <c r="F39" s="1"/>
  <c r="M44" i="2"/>
  <c r="M42"/>
  <c r="M38"/>
  <c r="I44"/>
  <c r="I42"/>
  <c r="I38"/>
  <c r="H44"/>
  <c r="H42"/>
  <c r="H38"/>
  <c r="O44"/>
  <c r="O42"/>
  <c r="O38"/>
  <c r="L44"/>
  <c r="L42"/>
  <c r="L38"/>
  <c r="N44"/>
  <c r="N42"/>
  <c r="N38"/>
  <c r="K44"/>
  <c r="K38"/>
  <c r="O7"/>
  <c r="O48" s="1"/>
  <c r="L7"/>
  <c r="L48" s="1"/>
  <c r="K7"/>
  <c r="K48" s="1"/>
  <c r="M7"/>
  <c r="M48" s="1"/>
  <c r="I7"/>
  <c r="I48" s="1"/>
  <c r="H7"/>
  <c r="H48" s="1"/>
  <c r="N7"/>
  <c r="N48" s="1"/>
  <c r="N59" l="1"/>
  <c r="N60" s="1"/>
  <c r="N55"/>
  <c r="N56" s="1"/>
  <c r="N51"/>
  <c r="N52" s="1"/>
  <c r="K59"/>
  <c r="K60" s="1"/>
  <c r="K55"/>
  <c r="K56" s="1"/>
  <c r="K51"/>
  <c r="K52" s="1"/>
  <c r="M59"/>
  <c r="M60" s="1"/>
  <c r="M55"/>
  <c r="M56" s="1"/>
  <c r="M51"/>
  <c r="M52" s="1"/>
  <c r="L59"/>
  <c r="L60" s="1"/>
  <c r="L51"/>
  <c r="L52" s="1"/>
  <c r="L55"/>
  <c r="L56" s="1"/>
  <c r="O59"/>
  <c r="O60" s="1"/>
  <c r="O51"/>
  <c r="O52" s="1"/>
  <c r="O55"/>
  <c r="O56" s="1"/>
  <c r="J59"/>
  <c r="J60" s="1"/>
  <c r="J51"/>
  <c r="J52" s="1"/>
  <c r="J55"/>
  <c r="J56" s="1"/>
  <c r="H59"/>
  <c r="H60" s="1"/>
  <c r="H55"/>
  <c r="H56" s="1"/>
  <c r="H51"/>
  <c r="H52" s="1"/>
  <c r="I59"/>
  <c r="I60" s="1"/>
  <c r="I55"/>
  <c r="I56" s="1"/>
  <c r="I51"/>
  <c r="I52" s="1"/>
  <c r="L8"/>
  <c r="J8"/>
  <c r="J38"/>
  <c r="J44"/>
  <c r="J42"/>
  <c r="P38" i="8"/>
  <c r="G6" i="2"/>
  <c r="I8"/>
  <c r="I104" s="1"/>
  <c r="N8"/>
  <c r="M8"/>
  <c r="H8"/>
  <c r="K8"/>
  <c r="O8"/>
  <c r="P39" i="8"/>
  <c r="O104" i="2" l="1"/>
  <c r="K104"/>
  <c r="H104"/>
  <c r="H100"/>
  <c r="H109" s="1"/>
  <c r="L99"/>
  <c r="L108" s="1"/>
  <c r="M104"/>
  <c r="J104"/>
  <c r="I101"/>
  <c r="I110" s="1"/>
  <c r="O101"/>
  <c r="O110" s="1"/>
  <c r="N104"/>
  <c r="M100"/>
  <c r="N99"/>
  <c r="N108" s="1"/>
  <c r="I99"/>
  <c r="I108" s="1"/>
  <c r="J100"/>
  <c r="M101"/>
  <c r="M110" s="1"/>
  <c r="I100"/>
  <c r="O99"/>
  <c r="O108" s="1"/>
  <c r="K99"/>
  <c r="K108" s="1"/>
  <c r="H99"/>
  <c r="H108" s="1"/>
  <c r="O100"/>
  <c r="O109" s="1"/>
  <c r="K101"/>
  <c r="K110" s="1"/>
  <c r="H101"/>
  <c r="H110" s="1"/>
  <c r="L101"/>
  <c r="L110" s="1"/>
  <c r="K100"/>
  <c r="J101"/>
  <c r="J110" s="1"/>
  <c r="L100"/>
  <c r="L109" s="1"/>
  <c r="N101"/>
  <c r="N110" s="1"/>
  <c r="L104"/>
  <c r="J99"/>
  <c r="J108" s="1"/>
  <c r="M99"/>
  <c r="M108" s="1"/>
  <c r="N100"/>
  <c r="N109" s="1"/>
  <c r="G36"/>
  <c r="G40" s="1"/>
  <c r="Q6"/>
  <c r="M103"/>
  <c r="M112" s="1"/>
  <c r="M105"/>
  <c r="M114" s="1"/>
  <c r="I103"/>
  <c r="I112" s="1"/>
  <c r="I105"/>
  <c r="I114" s="1"/>
  <c r="O103"/>
  <c r="O112" s="1"/>
  <c r="O105"/>
  <c r="O114" s="1"/>
  <c r="L103"/>
  <c r="L112" s="1"/>
  <c r="L105"/>
  <c r="L114" s="1"/>
  <c r="N103"/>
  <c r="N112" s="1"/>
  <c r="N105"/>
  <c r="N114" s="1"/>
  <c r="J103"/>
  <c r="J112" s="1"/>
  <c r="J105"/>
  <c r="J114" s="1"/>
  <c r="K103"/>
  <c r="K112" s="1"/>
  <c r="K105"/>
  <c r="K114" s="1"/>
  <c r="H103"/>
  <c r="H112" s="1"/>
  <c r="H105"/>
  <c r="H114" s="1"/>
  <c r="O102"/>
  <c r="O111" s="1"/>
  <c r="L102"/>
  <c r="L111" s="1"/>
  <c r="H102"/>
  <c r="H111" s="1"/>
  <c r="M102"/>
  <c r="M111" s="1"/>
  <c r="I102"/>
  <c r="I111" s="1"/>
  <c r="J102"/>
  <c r="J111" s="1"/>
  <c r="K102"/>
  <c r="K111" s="1"/>
  <c r="N102"/>
  <c r="N111" s="1"/>
  <c r="H21"/>
  <c r="H24" s="1"/>
  <c r="M21"/>
  <c r="M24" s="1"/>
  <c r="N21"/>
  <c r="N24" s="1"/>
  <c r="O21"/>
  <c r="O24" s="1"/>
  <c r="L21"/>
  <c r="L24" s="1"/>
  <c r="I21"/>
  <c r="J21"/>
  <c r="J24" s="1"/>
  <c r="K21"/>
  <c r="G7"/>
  <c r="G48" s="1"/>
  <c r="G55" l="1"/>
  <c r="G56" s="1"/>
  <c r="G59"/>
  <c r="G60" s="1"/>
  <c r="G51"/>
  <c r="I94"/>
  <c r="I24"/>
  <c r="I93" s="1"/>
  <c r="K94"/>
  <c r="K24"/>
  <c r="K93" s="1"/>
  <c r="G8"/>
  <c r="G102" s="1"/>
  <c r="H93"/>
  <c r="H94"/>
  <c r="J93"/>
  <c r="J94"/>
  <c r="L93"/>
  <c r="L94"/>
  <c r="O93"/>
  <c r="O94"/>
  <c r="N93"/>
  <c r="N94"/>
  <c r="M93"/>
  <c r="M94"/>
  <c r="I23"/>
  <c r="G42"/>
  <c r="G44"/>
  <c r="G38"/>
  <c r="K109"/>
  <c r="M109"/>
  <c r="J109"/>
  <c r="I109"/>
  <c r="G52" l="1"/>
  <c r="G104"/>
  <c r="G113" s="1"/>
  <c r="Q60"/>
  <c r="G100"/>
  <c r="Q56"/>
  <c r="G101"/>
  <c r="Q8"/>
  <c r="G11"/>
  <c r="G63" s="1"/>
  <c r="G103"/>
  <c r="G105"/>
  <c r="G114" s="1"/>
  <c r="Q114" s="1"/>
  <c r="G21"/>
  <c r="G24" s="1"/>
  <c r="Q52" l="1"/>
  <c r="G99"/>
  <c r="G108" s="1"/>
  <c r="Q108" s="1"/>
  <c r="G74"/>
  <c r="G75" s="1"/>
  <c r="G66"/>
  <c r="G67" s="1"/>
  <c r="G70"/>
  <c r="G71" s="1"/>
  <c r="D19" i="3"/>
  <c r="H20" i="1"/>
  <c r="Q102" i="2"/>
  <c r="C131" i="1" s="1"/>
  <c r="G111" i="2"/>
  <c r="Q111" s="1"/>
  <c r="H23" i="1" s="1"/>
  <c r="Q101" i="2"/>
  <c r="D65" i="9" s="1"/>
  <c r="E65" s="1"/>
  <c r="G110" i="2"/>
  <c r="Q110" s="1"/>
  <c r="Q103"/>
  <c r="C132" i="1" s="1"/>
  <c r="G112" i="2"/>
  <c r="Q112" s="1"/>
  <c r="H17" i="1" s="1"/>
  <c r="Q100" i="2"/>
  <c r="D64" i="9" s="1"/>
  <c r="E64" s="1"/>
  <c r="G109" i="2"/>
  <c r="Q109" s="1"/>
  <c r="H21" i="1" s="1"/>
  <c r="G31" i="2"/>
  <c r="G96"/>
  <c r="F46" i="1"/>
  <c r="G94" i="2"/>
  <c r="F50" i="1" s="1"/>
  <c r="G124" i="2"/>
  <c r="G22"/>
  <c r="G15" s="1"/>
  <c r="Q21"/>
  <c r="Q105"/>
  <c r="G20" i="6" s="1"/>
  <c r="H20" s="1"/>
  <c r="Q99" i="2" l="1"/>
  <c r="C128" i="1" s="1"/>
  <c r="F17"/>
  <c r="D67" i="9"/>
  <c r="E67" s="1"/>
  <c r="F67" s="1"/>
  <c r="F64" s="1"/>
  <c r="G64" s="1"/>
  <c r="G166" i="2"/>
  <c r="F101" i="1" s="1"/>
  <c r="R111" i="2"/>
  <c r="G23" i="6"/>
  <c r="H23" s="1"/>
  <c r="G17"/>
  <c r="H17" s="1"/>
  <c r="R112" i="2"/>
  <c r="R109"/>
  <c r="G21" i="6"/>
  <c r="H21" s="1"/>
  <c r="H18" i="1"/>
  <c r="R114" i="2"/>
  <c r="G22" i="6"/>
  <c r="H22" s="1"/>
  <c r="H22" i="1"/>
  <c r="R110" i="2"/>
  <c r="D66" i="9"/>
  <c r="E66" s="1"/>
  <c r="F21" i="1"/>
  <c r="G32" i="2"/>
  <c r="G78" s="1"/>
  <c r="G150"/>
  <c r="F20" i="1"/>
  <c r="C134"/>
  <c r="G168" i="2"/>
  <c r="F103" i="1" s="1"/>
  <c r="D70" i="9"/>
  <c r="E70" s="1"/>
  <c r="F70" s="1"/>
  <c r="H66" s="1"/>
  <c r="G93" i="2"/>
  <c r="F23" i="1"/>
  <c r="C129"/>
  <c r="F22"/>
  <c r="C130"/>
  <c r="F18" l="1"/>
  <c r="G18" i="6"/>
  <c r="H18" s="1"/>
  <c r="D68" i="9"/>
  <c r="E68" s="1"/>
  <c r="F68" s="1"/>
  <c r="G165" i="2"/>
  <c r="F100" i="1" s="1"/>
  <c r="R108" i="2"/>
  <c r="G89"/>
  <c r="G90" s="1"/>
  <c r="G81"/>
  <c r="G82" s="1"/>
  <c r="G85"/>
  <c r="G86" s="1"/>
  <c r="I66" i="9"/>
  <c r="F66"/>
  <c r="G66" s="1"/>
  <c r="H54" s="1"/>
  <c r="I54" s="1"/>
  <c r="F65"/>
  <c r="G145" i="2"/>
  <c r="H65" i="9"/>
  <c r="I65" s="1"/>
  <c r="H64"/>
  <c r="I64" s="1"/>
  <c r="H52"/>
  <c r="I52" s="1"/>
  <c r="G146" i="2" l="1"/>
  <c r="G65" i="9"/>
  <c r="H53" s="1"/>
  <c r="I53" s="1"/>
  <c r="D11" i="3" l="1"/>
  <c r="F53" i="1" l="1"/>
  <c r="F47"/>
  <c r="D12" i="3"/>
  <c r="H29" i="2"/>
  <c r="H30" s="1"/>
  <c r="J29"/>
  <c r="J30" s="1"/>
  <c r="J23"/>
  <c r="N29"/>
  <c r="N30" s="1"/>
  <c r="N23"/>
  <c r="D13" i="3"/>
  <c r="K22" i="2"/>
  <c r="K15" s="1"/>
  <c r="H11"/>
  <c r="H63" l="1"/>
  <c r="H66" s="1"/>
  <c r="H67" s="1"/>
  <c r="H31"/>
  <c r="H96"/>
  <c r="D14" i="3"/>
  <c r="G147" i="2" s="1"/>
  <c r="N11"/>
  <c r="N63" s="1"/>
  <c r="K11"/>
  <c r="K63" s="1"/>
  <c r="I11"/>
  <c r="I29"/>
  <c r="I30" s="1"/>
  <c r="O11"/>
  <c r="O63" s="1"/>
  <c r="J11"/>
  <c r="J63" s="1"/>
  <c r="M11"/>
  <c r="M63" s="1"/>
  <c r="M29"/>
  <c r="M30" s="1"/>
  <c r="L11"/>
  <c r="L63" s="1"/>
  <c r="L29"/>
  <c r="L30" s="1"/>
  <c r="Q20"/>
  <c r="N22"/>
  <c r="N15" s="1"/>
  <c r="D20" i="3"/>
  <c r="M23" i="2"/>
  <c r="M22"/>
  <c r="M15" s="1"/>
  <c r="H124"/>
  <c r="H125" s="1"/>
  <c r="J22"/>
  <c r="J15" s="1"/>
  <c r="K23"/>
  <c r="L23"/>
  <c r="L22"/>
  <c r="L15" s="1"/>
  <c r="H23"/>
  <c r="H22"/>
  <c r="H15" s="1"/>
  <c r="O22"/>
  <c r="O15" s="1"/>
  <c r="O23"/>
  <c r="I22"/>
  <c r="I15" s="1"/>
  <c r="G23"/>
  <c r="H70" l="1"/>
  <c r="H71" s="1"/>
  <c r="H74"/>
  <c r="H75" s="1"/>
  <c r="I63"/>
  <c r="I66" s="1"/>
  <c r="I67" s="1"/>
  <c r="I31"/>
  <c r="K66"/>
  <c r="K67" s="1"/>
  <c r="K70"/>
  <c r="K71" s="1"/>
  <c r="K74"/>
  <c r="K75" s="1"/>
  <c r="N70"/>
  <c r="N71" s="1"/>
  <c r="N74"/>
  <c r="N75" s="1"/>
  <c r="N66"/>
  <c r="N67" s="1"/>
  <c r="L70"/>
  <c r="L71" s="1"/>
  <c r="L66"/>
  <c r="L67" s="1"/>
  <c r="L74"/>
  <c r="L75" s="1"/>
  <c r="M74"/>
  <c r="M75" s="1"/>
  <c r="M70"/>
  <c r="M71" s="1"/>
  <c r="M66"/>
  <c r="M67" s="1"/>
  <c r="J66"/>
  <c r="J67" s="1"/>
  <c r="J70"/>
  <c r="J71" s="1"/>
  <c r="J74"/>
  <c r="J75" s="1"/>
  <c r="O70"/>
  <c r="O71" s="1"/>
  <c r="O74"/>
  <c r="O75" s="1"/>
  <c r="O66"/>
  <c r="O67" s="1"/>
  <c r="I96"/>
  <c r="L96"/>
  <c r="Q22"/>
  <c r="R22" s="1"/>
  <c r="O31"/>
  <c r="O96"/>
  <c r="K31"/>
  <c r="K96"/>
  <c r="N31"/>
  <c r="N96"/>
  <c r="M31"/>
  <c r="M96"/>
  <c r="J31"/>
  <c r="J96"/>
  <c r="L31"/>
  <c r="K124"/>
  <c r="K125" s="1"/>
  <c r="H32"/>
  <c r="H78" s="1"/>
  <c r="H150"/>
  <c r="O124"/>
  <c r="O125" s="1"/>
  <c r="L113"/>
  <c r="I124"/>
  <c r="I125" s="1"/>
  <c r="Q11"/>
  <c r="J113"/>
  <c r="L124"/>
  <c r="L125" s="1"/>
  <c r="M124"/>
  <c r="M125" s="1"/>
  <c r="N124"/>
  <c r="N125" s="1"/>
  <c r="G125"/>
  <c r="K113"/>
  <c r="J124"/>
  <c r="J125" s="1"/>
  <c r="G126"/>
  <c r="Q23"/>
  <c r="I70" l="1"/>
  <c r="I71" s="1"/>
  <c r="Q71" s="1"/>
  <c r="I74"/>
  <c r="I75" s="1"/>
  <c r="Q75" s="1"/>
  <c r="K122"/>
  <c r="L122"/>
  <c r="J122"/>
  <c r="H122"/>
  <c r="N122"/>
  <c r="O122"/>
  <c r="I122"/>
  <c r="M122"/>
  <c r="H89"/>
  <c r="H90" s="1"/>
  <c r="H81"/>
  <c r="H82" s="1"/>
  <c r="H85"/>
  <c r="H86" s="1"/>
  <c r="H119"/>
  <c r="H118"/>
  <c r="H117"/>
  <c r="I117"/>
  <c r="J118"/>
  <c r="J119"/>
  <c r="J117"/>
  <c r="K119"/>
  <c r="K118"/>
  <c r="K117"/>
  <c r="L119"/>
  <c r="L118"/>
  <c r="L117"/>
  <c r="M119"/>
  <c r="M118"/>
  <c r="M117"/>
  <c r="N119"/>
  <c r="N118"/>
  <c r="N117"/>
  <c r="O118"/>
  <c r="O119"/>
  <c r="O117"/>
  <c r="G119"/>
  <c r="G118"/>
  <c r="G130" s="1"/>
  <c r="G117"/>
  <c r="G129" s="1"/>
  <c r="G122"/>
  <c r="G127"/>
  <c r="Q67"/>
  <c r="Q31"/>
  <c r="Q150" s="1"/>
  <c r="F61" i="1" s="1"/>
  <c r="I113" i="2"/>
  <c r="N32"/>
  <c r="N150"/>
  <c r="O32"/>
  <c r="O150"/>
  <c r="I32"/>
  <c r="I150"/>
  <c r="L32"/>
  <c r="L150"/>
  <c r="M32"/>
  <c r="M150"/>
  <c r="J32"/>
  <c r="J150"/>
  <c r="H145"/>
  <c r="K32"/>
  <c r="K150"/>
  <c r="M120"/>
  <c r="N120"/>
  <c r="O120"/>
  <c r="H120"/>
  <c r="I120"/>
  <c r="J120"/>
  <c r="K120"/>
  <c r="L120"/>
  <c r="G123"/>
  <c r="G135" s="1"/>
  <c r="K147"/>
  <c r="K148" s="1"/>
  <c r="J147"/>
  <c r="J148" s="1"/>
  <c r="I147"/>
  <c r="I148" s="1"/>
  <c r="H147"/>
  <c r="H148" s="1"/>
  <c r="L147"/>
  <c r="L148" s="1"/>
  <c r="O147"/>
  <c r="G148"/>
  <c r="N147"/>
  <c r="N148" s="1"/>
  <c r="M147"/>
  <c r="M148" s="1"/>
  <c r="N123"/>
  <c r="G121"/>
  <c r="G133" s="1"/>
  <c r="H123"/>
  <c r="O123"/>
  <c r="L121"/>
  <c r="K123"/>
  <c r="G120"/>
  <c r="I123"/>
  <c r="J123"/>
  <c r="J121"/>
  <c r="I121"/>
  <c r="Q125"/>
  <c r="M121"/>
  <c r="H121"/>
  <c r="K121"/>
  <c r="M123"/>
  <c r="L123"/>
  <c r="O121"/>
  <c r="N121"/>
  <c r="Q124"/>
  <c r="N113"/>
  <c r="O113"/>
  <c r="M113"/>
  <c r="H113"/>
  <c r="O126"/>
  <c r="L126"/>
  <c r="L127" s="1"/>
  <c r="K126"/>
  <c r="K127" s="1"/>
  <c r="I126"/>
  <c r="I127" s="1"/>
  <c r="H126"/>
  <c r="H127" s="1"/>
  <c r="N126"/>
  <c r="N127" s="1"/>
  <c r="M126"/>
  <c r="M127" s="1"/>
  <c r="J126"/>
  <c r="J127" s="1"/>
  <c r="O130" l="1"/>
  <c r="Q126"/>
  <c r="I118"/>
  <c r="Q118" s="1"/>
  <c r="I119"/>
  <c r="Q119" s="1"/>
  <c r="M145"/>
  <c r="M146" s="1"/>
  <c r="M78"/>
  <c r="N145"/>
  <c r="N146" s="1"/>
  <c r="N78"/>
  <c r="O145"/>
  <c r="O146" s="1"/>
  <c r="O78"/>
  <c r="J145"/>
  <c r="J146" s="1"/>
  <c r="J78"/>
  <c r="L145"/>
  <c r="L146" s="1"/>
  <c r="L78"/>
  <c r="K145"/>
  <c r="K146" s="1"/>
  <c r="K78"/>
  <c r="I145"/>
  <c r="I146" s="1"/>
  <c r="I78"/>
  <c r="Q32"/>
  <c r="L129"/>
  <c r="Q113"/>
  <c r="H19" i="1" s="1"/>
  <c r="I129" i="2"/>
  <c r="O127"/>
  <c r="O133"/>
  <c r="O148"/>
  <c r="H146"/>
  <c r="Q147"/>
  <c r="Q123"/>
  <c r="Q120"/>
  <c r="Q121"/>
  <c r="Q104"/>
  <c r="Q122"/>
  <c r="K132"/>
  <c r="N131"/>
  <c r="J133"/>
  <c r="J130"/>
  <c r="J132"/>
  <c r="N134"/>
  <c r="K130"/>
  <c r="N129"/>
  <c r="K129"/>
  <c r="K135"/>
  <c r="I133"/>
  <c r="L132"/>
  <c r="O134"/>
  <c r="H130"/>
  <c r="N133"/>
  <c r="K133"/>
  <c r="K131"/>
  <c r="N132"/>
  <c r="K134"/>
  <c r="O131"/>
  <c r="O132"/>
  <c r="L133"/>
  <c r="O129"/>
  <c r="N135"/>
  <c r="O135"/>
  <c r="G132"/>
  <c r="M131"/>
  <c r="L134"/>
  <c r="N130"/>
  <c r="L130"/>
  <c r="J131"/>
  <c r="L131"/>
  <c r="L135"/>
  <c r="J134"/>
  <c r="J135"/>
  <c r="M130"/>
  <c r="H132"/>
  <c r="I135"/>
  <c r="M133"/>
  <c r="H133"/>
  <c r="I132"/>
  <c r="H129"/>
  <c r="I134"/>
  <c r="M129"/>
  <c r="M135"/>
  <c r="H135"/>
  <c r="M134"/>
  <c r="G134"/>
  <c r="G131"/>
  <c r="M132"/>
  <c r="H131"/>
  <c r="H134"/>
  <c r="I130" l="1"/>
  <c r="Q130" s="1"/>
  <c r="C136" i="1" s="1"/>
  <c r="I131" i="2"/>
  <c r="Q131" s="1"/>
  <c r="Q145"/>
  <c r="Q146"/>
  <c r="K85"/>
  <c r="K86" s="1"/>
  <c r="K140" s="1"/>
  <c r="K154" s="1"/>
  <c r="K89"/>
  <c r="K90" s="1"/>
  <c r="K139" s="1"/>
  <c r="K153" s="1"/>
  <c r="K81"/>
  <c r="K82" s="1"/>
  <c r="K143" s="1"/>
  <c r="K157" s="1"/>
  <c r="N85"/>
  <c r="N86" s="1"/>
  <c r="N140" s="1"/>
  <c r="N154" s="1"/>
  <c r="N81"/>
  <c r="N82" s="1"/>
  <c r="N138" s="1"/>
  <c r="N152" s="1"/>
  <c r="N89"/>
  <c r="N90" s="1"/>
  <c r="N139" s="1"/>
  <c r="N153" s="1"/>
  <c r="L89"/>
  <c r="L90" s="1"/>
  <c r="L139" s="1"/>
  <c r="L153" s="1"/>
  <c r="L85"/>
  <c r="L86" s="1"/>
  <c r="L140" s="1"/>
  <c r="L154" s="1"/>
  <c r="L81"/>
  <c r="L82" s="1"/>
  <c r="L138" s="1"/>
  <c r="L152" s="1"/>
  <c r="M89"/>
  <c r="M90" s="1"/>
  <c r="M139" s="1"/>
  <c r="M153" s="1"/>
  <c r="M85"/>
  <c r="M86" s="1"/>
  <c r="M140" s="1"/>
  <c r="M154" s="1"/>
  <c r="M81"/>
  <c r="M82" s="1"/>
  <c r="M143" s="1"/>
  <c r="M157" s="1"/>
  <c r="G143"/>
  <c r="G157" s="1"/>
  <c r="G142"/>
  <c r="G156" s="1"/>
  <c r="G141"/>
  <c r="G155" s="1"/>
  <c r="H140"/>
  <c r="H154" s="1"/>
  <c r="G140"/>
  <c r="G154" s="1"/>
  <c r="H139"/>
  <c r="H153" s="1"/>
  <c r="G139"/>
  <c r="G153" s="1"/>
  <c r="H138"/>
  <c r="H152" s="1"/>
  <c r="G138"/>
  <c r="G152" s="1"/>
  <c r="H143"/>
  <c r="H157" s="1"/>
  <c r="J89"/>
  <c r="J90" s="1"/>
  <c r="J139" s="1"/>
  <c r="J153" s="1"/>
  <c r="J85"/>
  <c r="J86" s="1"/>
  <c r="J140" s="1"/>
  <c r="J154" s="1"/>
  <c r="J81"/>
  <c r="J82" s="1"/>
  <c r="J138" s="1"/>
  <c r="J152" s="1"/>
  <c r="I89"/>
  <c r="I90" s="1"/>
  <c r="I85"/>
  <c r="I86" s="1"/>
  <c r="I140" s="1"/>
  <c r="I154" s="1"/>
  <c r="I81"/>
  <c r="I82" s="1"/>
  <c r="I138" s="1"/>
  <c r="I152" s="1"/>
  <c r="O89"/>
  <c r="O90" s="1"/>
  <c r="O139" s="1"/>
  <c r="O153" s="1"/>
  <c r="O85"/>
  <c r="O86" s="1"/>
  <c r="O140" s="1"/>
  <c r="O154" s="1"/>
  <c r="O81"/>
  <c r="O82" s="1"/>
  <c r="O143" s="1"/>
  <c r="O157" s="1"/>
  <c r="Q117"/>
  <c r="G171" s="1"/>
  <c r="J129"/>
  <c r="Q129" s="1"/>
  <c r="C135" i="1" s="1"/>
  <c r="R113" i="2"/>
  <c r="G19" i="6"/>
  <c r="H19" s="1"/>
  <c r="F19" i="1"/>
  <c r="Q133" i="2"/>
  <c r="F27" i="1" s="1"/>
  <c r="Q127" i="2"/>
  <c r="F60" i="1" s="1"/>
  <c r="G172" i="2"/>
  <c r="G186" s="1"/>
  <c r="G173"/>
  <c r="G174"/>
  <c r="G188" s="1"/>
  <c r="Q148"/>
  <c r="L144"/>
  <c r="L158" s="1"/>
  <c r="N144"/>
  <c r="N158" s="1"/>
  <c r="J141"/>
  <c r="J155" s="1"/>
  <c r="H142"/>
  <c r="H156" s="1"/>
  <c r="M141"/>
  <c r="M155" s="1"/>
  <c r="K142"/>
  <c r="K156" s="1"/>
  <c r="O141"/>
  <c r="O155" s="1"/>
  <c r="I144"/>
  <c r="I158" s="1"/>
  <c r="K144"/>
  <c r="K158" s="1"/>
  <c r="I141"/>
  <c r="I155" s="1"/>
  <c r="L142"/>
  <c r="L156" s="1"/>
  <c r="M142"/>
  <c r="M156" s="1"/>
  <c r="J144"/>
  <c r="J158" s="1"/>
  <c r="H141"/>
  <c r="H155" s="1"/>
  <c r="G144"/>
  <c r="G158" s="1"/>
  <c r="O144"/>
  <c r="O158" s="1"/>
  <c r="M144"/>
  <c r="M158" s="1"/>
  <c r="H144"/>
  <c r="H158" s="1"/>
  <c r="K141"/>
  <c r="K155" s="1"/>
  <c r="J142"/>
  <c r="J156" s="1"/>
  <c r="I142"/>
  <c r="I156" s="1"/>
  <c r="N142"/>
  <c r="N156" s="1"/>
  <c r="L141"/>
  <c r="L155" s="1"/>
  <c r="N141"/>
  <c r="N155" s="1"/>
  <c r="O142"/>
  <c r="O156" s="1"/>
  <c r="G167"/>
  <c r="F102" i="1" s="1"/>
  <c r="D69" i="9"/>
  <c r="E69" s="1"/>
  <c r="F69" s="1"/>
  <c r="J66" s="1"/>
  <c r="K66" s="1"/>
  <c r="C133" i="1"/>
  <c r="Q135" i="2"/>
  <c r="C141" i="1" s="1"/>
  <c r="Q134" i="2"/>
  <c r="F29" i="1" s="1"/>
  <c r="Q132" i="2"/>
  <c r="F33" i="1" s="1"/>
  <c r="G185" i="2" l="1"/>
  <c r="N143"/>
  <c r="N157" s="1"/>
  <c r="L143"/>
  <c r="L157" s="1"/>
  <c r="J143"/>
  <c r="J157" s="1"/>
  <c r="K138"/>
  <c r="K152" s="1"/>
  <c r="Q90"/>
  <c r="O138"/>
  <c r="O152" s="1"/>
  <c r="M138"/>
  <c r="M152" s="1"/>
  <c r="Q82"/>
  <c r="I143"/>
  <c r="I157" s="1"/>
  <c r="Q86"/>
  <c r="I139"/>
  <c r="I153" s="1"/>
  <c r="Q153" s="1"/>
  <c r="Q154"/>
  <c r="Q140"/>
  <c r="Q144"/>
  <c r="G181" s="1"/>
  <c r="G194" s="1"/>
  <c r="Q158"/>
  <c r="Q141"/>
  <c r="Q155"/>
  <c r="Q142"/>
  <c r="G179" s="1"/>
  <c r="G192" s="1"/>
  <c r="Q156"/>
  <c r="J65" i="9"/>
  <c r="K65" s="1"/>
  <c r="J64"/>
  <c r="K64" s="1"/>
  <c r="G187" i="2"/>
  <c r="F30" i="1"/>
  <c r="C139"/>
  <c r="F31"/>
  <c r="G26" i="6"/>
  <c r="H26" s="1"/>
  <c r="C138" i="1"/>
  <c r="C137"/>
  <c r="F28"/>
  <c r="C140"/>
  <c r="F32"/>
  <c r="Q157" i="2" l="1"/>
  <c r="C147" i="1" s="1"/>
  <c r="Q152" i="2"/>
  <c r="F38" i="1" s="1"/>
  <c r="Q143" i="2"/>
  <c r="G180" s="1"/>
  <c r="G193" s="1"/>
  <c r="Q139"/>
  <c r="Q138"/>
  <c r="G178" s="1"/>
  <c r="F69" i="1"/>
  <c r="F56" s="1"/>
  <c r="F37"/>
  <c r="C146"/>
  <c r="F40"/>
  <c r="C148"/>
  <c r="F43"/>
  <c r="C145"/>
  <c r="F42"/>
  <c r="C144"/>
  <c r="F41"/>
  <c r="C143"/>
  <c r="G191" i="2" l="1"/>
  <c r="F104" i="1"/>
  <c r="F39"/>
  <c r="F72" s="1"/>
  <c r="C142"/>
  <c r="G107" l="1"/>
  <c r="F107"/>
  <c r="F57"/>
  <c r="F59" s="1"/>
</calcChain>
</file>

<file path=xl/comments1.xml><?xml version="1.0" encoding="utf-8"?>
<comments xmlns="http://schemas.openxmlformats.org/spreadsheetml/2006/main">
  <authors>
    <author>LukeLaptop</author>
  </authors>
  <commentList>
    <comment ref="B104" authorId="0">
      <text>
        <r>
          <rPr>
            <b/>
            <sz val="9"/>
            <color indexed="81"/>
            <rFont val="Tahoma"/>
            <family val="2"/>
          </rPr>
          <t>LukeLaptop:</t>
        </r>
        <r>
          <rPr>
            <sz val="9"/>
            <color indexed="81"/>
            <rFont val="Tahoma"/>
            <family val="2"/>
          </rPr>
          <t xml:space="preserve">
Mix of grid and solar power plus batteries - for the level of solar capacity and batteries listed at cells f5 to f12 above (excluding GST)</t>
        </r>
      </text>
    </comment>
  </commentList>
</comments>
</file>

<file path=xl/comments2.xml><?xml version="1.0" encoding="utf-8"?>
<comments xmlns="http://schemas.openxmlformats.org/spreadsheetml/2006/main">
  <authors>
    <author>User</author>
  </authors>
  <commentList>
    <comment ref="B39" authorId="0">
      <text>
        <r>
          <rPr>
            <b/>
            <sz val="9"/>
            <color indexed="81"/>
            <rFont val="Tahoma"/>
            <family val="2"/>
          </rPr>
          <t>User:</t>
        </r>
        <r>
          <rPr>
            <sz val="9"/>
            <color indexed="81"/>
            <rFont val="Tahoma"/>
            <family val="2"/>
          </rPr>
          <t xml:space="preserve">
Assumes there is always sufficient water available for irrigation even in drought years</t>
        </r>
      </text>
    </comment>
  </commentList>
</comments>
</file>

<file path=xl/comments3.xml><?xml version="1.0" encoding="utf-8"?>
<comments xmlns="http://schemas.openxmlformats.org/spreadsheetml/2006/main">
  <authors>
    <author>User</author>
  </authors>
  <commentList>
    <comment ref="D43" authorId="0">
      <text>
        <r>
          <rPr>
            <sz val="9"/>
            <color indexed="81"/>
            <rFont val="Tahoma"/>
            <family val="2"/>
          </rPr>
          <t>Calculated based on average consumption for a 40 hectare farm (81230 kWh over the growing season) with all use at offpeak demand charges</t>
        </r>
      </text>
    </comment>
    <comment ref="D44" authorId="0">
      <text>
        <r>
          <rPr>
            <b/>
            <sz val="9"/>
            <color indexed="81"/>
            <rFont val="Tahoma"/>
            <family val="2"/>
          </rPr>
          <t>User:</t>
        </r>
        <r>
          <rPr>
            <sz val="9"/>
            <color indexed="81"/>
            <rFont val="Tahoma"/>
            <family val="2"/>
          </rPr>
          <t xml:space="preserve">
Calculated as the increase in the usage charge from 18.872 c/kWh in 2015/16 to 19.960 c/kWh in 2016/17</t>
        </r>
      </text>
    </comment>
  </commentList>
</comments>
</file>

<file path=xl/comments4.xml><?xml version="1.0" encoding="utf-8"?>
<comments xmlns="http://schemas.openxmlformats.org/spreadsheetml/2006/main">
  <authors>
    <author>User</author>
    <author>Engineroom</author>
  </authors>
  <commentList>
    <comment ref="B10" authorId="0">
      <text>
        <r>
          <rPr>
            <b/>
            <sz val="9"/>
            <color indexed="81"/>
            <rFont val="Tahoma"/>
            <family val="2"/>
          </rPr>
          <t>User:</t>
        </r>
        <r>
          <rPr>
            <sz val="9"/>
            <color indexed="81"/>
            <rFont val="Tahoma"/>
            <family val="2"/>
          </rPr>
          <t xml:space="preserve">
Assumes that during 30% of the day the solar panels are generating a small amount of power but not enough to run the irrigation system.
System roundtrip efficiency is 87%, meaning 17% of power is lost in a full charge/discharge cycle.</t>
        </r>
      </text>
    </comment>
    <comment ref="B14" authorId="0">
      <text>
        <r>
          <rPr>
            <b/>
            <sz val="9"/>
            <color indexed="81"/>
            <rFont val="Tahoma"/>
            <family val="2"/>
          </rPr>
          <t>User:</t>
        </r>
        <r>
          <rPr>
            <sz val="9"/>
            <color indexed="81"/>
            <rFont val="Tahoma"/>
            <family val="2"/>
          </rPr>
          <t xml:space="preserve">
Electric irrigation motors generally need to be supplied with voltage near their power rating in order to operate.  According it is assumed the solar panels will need to supply at or around 90% of power rating of the pump.</t>
        </r>
      </text>
    </comment>
    <comment ref="B16" authorId="0">
      <text>
        <r>
          <rPr>
            <b/>
            <sz val="9"/>
            <color indexed="81"/>
            <rFont val="Tahoma"/>
            <family val="2"/>
          </rPr>
          <t>User:</t>
        </r>
        <r>
          <rPr>
            <sz val="9"/>
            <color indexed="81"/>
            <rFont val="Tahoma"/>
            <family val="2"/>
          </rPr>
          <t xml:space="preserve">
A system of this size should deliver power at the min power requirement for the required number of hours per month specified above</t>
        </r>
      </text>
    </comment>
    <comment ref="R22" authorId="0">
      <text>
        <r>
          <rPr>
            <b/>
            <sz val="9"/>
            <color indexed="81"/>
            <rFont val="Tahoma"/>
            <family val="2"/>
          </rPr>
          <t>User:</t>
        </r>
        <r>
          <rPr>
            <sz val="9"/>
            <color indexed="81"/>
            <rFont val="Tahoma"/>
            <family val="2"/>
          </rPr>
          <t xml:space="preserve">
This is the percentage of available solar generation which is actually used.</t>
        </r>
      </text>
    </comment>
    <comment ref="B24" authorId="0">
      <text>
        <r>
          <rPr>
            <b/>
            <sz val="9"/>
            <color indexed="81"/>
            <rFont val="Tahoma"/>
            <family val="2"/>
          </rPr>
          <t>User:</t>
        </r>
        <r>
          <rPr>
            <sz val="9"/>
            <color indexed="81"/>
            <rFont val="Tahoma"/>
            <family val="2"/>
          </rPr>
          <t xml:space="preserve">
The minimum size of the system has been adjusted to ensure it delivers power at 90% of the pump rating for sufficient time to deliver the required irrigation requirement.</t>
        </r>
      </text>
    </comment>
    <comment ref="B50" authorId="0">
      <text>
        <r>
          <rPr>
            <b/>
            <sz val="9"/>
            <color indexed="81"/>
            <rFont val="Tahoma"/>
            <family val="2"/>
          </rPr>
          <t>User:</t>
        </r>
        <r>
          <rPr>
            <sz val="9"/>
            <color indexed="81"/>
            <rFont val="Tahoma"/>
            <family val="2"/>
          </rPr>
          <t xml:space="preserve">
Assumed to be 9 weekend days in all months except 8 weekend days in February</t>
        </r>
      </text>
    </comment>
    <comment ref="J104" authorId="0">
      <text>
        <r>
          <rPr>
            <b/>
            <sz val="9"/>
            <color indexed="81"/>
            <rFont val="Tahoma"/>
            <family val="2"/>
          </rPr>
          <t>User:</t>
        </r>
        <r>
          <rPr>
            <sz val="9"/>
            <color indexed="81"/>
            <rFont val="Tahoma"/>
            <family val="2"/>
          </rPr>
          <t xml:space="preserve">
summer peak</t>
        </r>
      </text>
    </comment>
    <comment ref="K104" authorId="0">
      <text>
        <r>
          <rPr>
            <b/>
            <sz val="9"/>
            <color indexed="81"/>
            <rFont val="Tahoma"/>
            <family val="2"/>
          </rPr>
          <t>User:</t>
        </r>
        <r>
          <rPr>
            <sz val="9"/>
            <color indexed="81"/>
            <rFont val="Tahoma"/>
            <family val="2"/>
          </rPr>
          <t xml:space="preserve">
summer peak</t>
        </r>
      </text>
    </comment>
    <comment ref="L104" authorId="0">
      <text>
        <r>
          <rPr>
            <b/>
            <sz val="9"/>
            <color indexed="81"/>
            <rFont val="Tahoma"/>
            <family val="2"/>
          </rPr>
          <t>User:</t>
        </r>
        <r>
          <rPr>
            <sz val="9"/>
            <color indexed="81"/>
            <rFont val="Tahoma"/>
            <family val="2"/>
          </rPr>
          <t xml:space="preserve">
summer peak</t>
        </r>
      </text>
    </comment>
    <comment ref="J113" authorId="1">
      <text>
        <r>
          <rPr>
            <b/>
            <sz val="9"/>
            <color indexed="81"/>
            <rFont val="Tahoma"/>
            <family val="2"/>
          </rPr>
          <t>Engineroom:</t>
        </r>
        <r>
          <rPr>
            <sz val="9"/>
            <color indexed="81"/>
            <rFont val="Tahoma"/>
            <family val="2"/>
          </rPr>
          <t xml:space="preserve">
summer peak</t>
        </r>
      </text>
    </comment>
    <comment ref="K113" authorId="1">
      <text>
        <r>
          <rPr>
            <b/>
            <sz val="9"/>
            <color indexed="81"/>
            <rFont val="Tahoma"/>
            <family val="2"/>
          </rPr>
          <t>Engineroom:</t>
        </r>
        <r>
          <rPr>
            <sz val="9"/>
            <color indexed="81"/>
            <rFont val="Tahoma"/>
            <family val="2"/>
          </rPr>
          <t xml:space="preserve">
summer peak</t>
        </r>
      </text>
    </comment>
    <comment ref="L113" authorId="1">
      <text>
        <r>
          <rPr>
            <b/>
            <sz val="9"/>
            <color indexed="81"/>
            <rFont val="Tahoma"/>
            <family val="2"/>
          </rPr>
          <t>Engineroom:</t>
        </r>
        <r>
          <rPr>
            <sz val="9"/>
            <color indexed="81"/>
            <rFont val="Tahoma"/>
            <family val="2"/>
          </rPr>
          <t xml:space="preserve">
summer peak</t>
        </r>
      </text>
    </comment>
    <comment ref="B116" authorId="0">
      <text>
        <r>
          <rPr>
            <b/>
            <sz val="9"/>
            <color indexed="81"/>
            <rFont val="Tahoma"/>
            <family val="2"/>
          </rPr>
          <t>User:</t>
        </r>
        <r>
          <rPr>
            <sz val="9"/>
            <color indexed="81"/>
            <rFont val="Tahoma"/>
            <family val="2"/>
          </rPr>
          <t xml:space="preserve">
It is assumed that if enough solar is installed to completely offset requirements for grid power then the farm disconnected from grid power and does not pay the fixed charges for grid power.</t>
        </r>
      </text>
    </comment>
    <comment ref="J122" authorId="0">
      <text>
        <r>
          <rPr>
            <b/>
            <sz val="9"/>
            <color indexed="81"/>
            <rFont val="Tahoma"/>
            <family val="2"/>
          </rPr>
          <t>User:</t>
        </r>
        <r>
          <rPr>
            <sz val="9"/>
            <color indexed="81"/>
            <rFont val="Tahoma"/>
            <family val="2"/>
          </rPr>
          <t xml:space="preserve">
summer peak</t>
        </r>
      </text>
    </comment>
    <comment ref="K122" authorId="0">
      <text>
        <r>
          <rPr>
            <b/>
            <sz val="9"/>
            <color indexed="81"/>
            <rFont val="Tahoma"/>
            <family val="2"/>
          </rPr>
          <t>User:</t>
        </r>
        <r>
          <rPr>
            <sz val="9"/>
            <color indexed="81"/>
            <rFont val="Tahoma"/>
            <family val="2"/>
          </rPr>
          <t xml:space="preserve">
summer peak</t>
        </r>
      </text>
    </comment>
    <comment ref="L122" authorId="0">
      <text>
        <r>
          <rPr>
            <b/>
            <sz val="9"/>
            <color indexed="81"/>
            <rFont val="Tahoma"/>
            <family val="2"/>
          </rPr>
          <t>User:</t>
        </r>
        <r>
          <rPr>
            <sz val="9"/>
            <color indexed="81"/>
            <rFont val="Tahoma"/>
            <family val="2"/>
          </rPr>
          <t xml:space="preserve">
summer peak</t>
        </r>
      </text>
    </comment>
    <comment ref="J134" authorId="0">
      <text>
        <r>
          <rPr>
            <b/>
            <sz val="9"/>
            <color indexed="81"/>
            <rFont val="Tahoma"/>
            <family val="2"/>
          </rPr>
          <t>User:</t>
        </r>
        <r>
          <rPr>
            <sz val="9"/>
            <color indexed="81"/>
            <rFont val="Tahoma"/>
            <family val="2"/>
          </rPr>
          <t xml:space="preserve">
summer peak</t>
        </r>
      </text>
    </comment>
    <comment ref="K134" authorId="0">
      <text>
        <r>
          <rPr>
            <b/>
            <sz val="9"/>
            <color indexed="81"/>
            <rFont val="Tahoma"/>
            <family val="2"/>
          </rPr>
          <t>User:</t>
        </r>
        <r>
          <rPr>
            <sz val="9"/>
            <color indexed="81"/>
            <rFont val="Tahoma"/>
            <family val="2"/>
          </rPr>
          <t xml:space="preserve">
summer peak</t>
        </r>
      </text>
    </comment>
    <comment ref="L134" authorId="0">
      <text>
        <r>
          <rPr>
            <b/>
            <sz val="9"/>
            <color indexed="81"/>
            <rFont val="Tahoma"/>
            <family val="2"/>
          </rPr>
          <t>User:</t>
        </r>
        <r>
          <rPr>
            <sz val="9"/>
            <color indexed="81"/>
            <rFont val="Tahoma"/>
            <family val="2"/>
          </rPr>
          <t xml:space="preserve">
summer peak</t>
        </r>
      </text>
    </comment>
    <comment ref="J143" authorId="0">
      <text>
        <r>
          <rPr>
            <b/>
            <sz val="9"/>
            <color indexed="81"/>
            <rFont val="Tahoma"/>
            <family val="2"/>
          </rPr>
          <t>User:</t>
        </r>
        <r>
          <rPr>
            <sz val="9"/>
            <color indexed="81"/>
            <rFont val="Tahoma"/>
            <family val="2"/>
          </rPr>
          <t xml:space="preserve">
summer peak</t>
        </r>
      </text>
    </comment>
    <comment ref="K143" authorId="0">
      <text>
        <r>
          <rPr>
            <b/>
            <sz val="9"/>
            <color indexed="81"/>
            <rFont val="Tahoma"/>
            <family val="2"/>
          </rPr>
          <t>User:</t>
        </r>
        <r>
          <rPr>
            <sz val="9"/>
            <color indexed="81"/>
            <rFont val="Tahoma"/>
            <family val="2"/>
          </rPr>
          <t xml:space="preserve">
summer peak</t>
        </r>
      </text>
    </comment>
    <comment ref="L143" authorId="0">
      <text>
        <r>
          <rPr>
            <b/>
            <sz val="9"/>
            <color indexed="81"/>
            <rFont val="Tahoma"/>
            <family val="2"/>
          </rPr>
          <t>User:</t>
        </r>
        <r>
          <rPr>
            <sz val="9"/>
            <color indexed="81"/>
            <rFont val="Tahoma"/>
            <family val="2"/>
          </rPr>
          <t xml:space="preserve">
summer peak</t>
        </r>
      </text>
    </comment>
    <comment ref="J157" authorId="0">
      <text>
        <r>
          <rPr>
            <b/>
            <sz val="9"/>
            <color indexed="81"/>
            <rFont val="Tahoma"/>
            <family val="2"/>
          </rPr>
          <t>User:</t>
        </r>
        <r>
          <rPr>
            <sz val="9"/>
            <color indexed="81"/>
            <rFont val="Tahoma"/>
            <family val="2"/>
          </rPr>
          <t xml:space="preserve">
summer peak</t>
        </r>
      </text>
    </comment>
    <comment ref="K157" authorId="0">
      <text>
        <r>
          <rPr>
            <b/>
            <sz val="9"/>
            <color indexed="81"/>
            <rFont val="Tahoma"/>
            <family val="2"/>
          </rPr>
          <t>User:</t>
        </r>
        <r>
          <rPr>
            <sz val="9"/>
            <color indexed="81"/>
            <rFont val="Tahoma"/>
            <family val="2"/>
          </rPr>
          <t xml:space="preserve">
summer peak</t>
        </r>
      </text>
    </comment>
    <comment ref="L157" authorId="0">
      <text>
        <r>
          <rPr>
            <b/>
            <sz val="9"/>
            <color indexed="81"/>
            <rFont val="Tahoma"/>
            <family val="2"/>
          </rPr>
          <t>User:</t>
        </r>
        <r>
          <rPr>
            <sz val="9"/>
            <color indexed="81"/>
            <rFont val="Tahoma"/>
            <family val="2"/>
          </rPr>
          <t xml:space="preserve">
summer peak</t>
        </r>
      </text>
    </comment>
  </commentList>
</comments>
</file>

<file path=xl/comments5.xml><?xml version="1.0" encoding="utf-8"?>
<comments xmlns="http://schemas.openxmlformats.org/spreadsheetml/2006/main">
  <authors>
    <author>User</author>
  </authors>
  <commentList>
    <comment ref="B91" authorId="0">
      <text>
        <r>
          <rPr>
            <b/>
            <sz val="9"/>
            <color indexed="81"/>
            <rFont val="Tahoma"/>
            <family val="2"/>
          </rPr>
          <t>User:</t>
        </r>
        <r>
          <rPr>
            <sz val="9"/>
            <color indexed="81"/>
            <rFont val="Tahoma"/>
            <family val="2"/>
          </rPr>
          <t xml:space="preserve">
Applying the cost of installing a Powerwall 2 residential battery, which is around 20% of the capital cost of the Powerwall 2</t>
        </r>
      </text>
    </comment>
  </commentList>
</comments>
</file>

<file path=xl/sharedStrings.xml><?xml version="1.0" encoding="utf-8"?>
<sst xmlns="http://schemas.openxmlformats.org/spreadsheetml/2006/main" count="712" uniqueCount="567">
  <si>
    <t>Sensitivity analysis</t>
  </si>
  <si>
    <t>Introduction</t>
  </si>
  <si>
    <t>Cost of solar</t>
  </si>
  <si>
    <t>Tariff 22A</t>
  </si>
  <si>
    <t>Tariff 62</t>
  </si>
  <si>
    <t>Tariff 65</t>
  </si>
  <si>
    <t>Tariff 66</t>
  </si>
  <si>
    <t>2016-17</t>
  </si>
  <si>
    <t>2017-18</t>
  </si>
  <si>
    <t>2018-19</t>
  </si>
  <si>
    <t>2019-20</t>
  </si>
  <si>
    <t>Reliability</t>
  </si>
  <si>
    <t>Income from operating in grid-connected mode from feed-in tariffs</t>
  </si>
  <si>
    <t>current tariff</t>
  </si>
  <si>
    <t>Risks of off-grid supply</t>
  </si>
  <si>
    <t>X.1</t>
  </si>
  <si>
    <t>Capital cost ($ per kilowatt)</t>
  </si>
  <si>
    <t>Rooftop solar</t>
  </si>
  <si>
    <t>Gas</t>
  </si>
  <si>
    <t>Wind</t>
  </si>
  <si>
    <t>Ocean</t>
  </si>
  <si>
    <t>Coal</t>
  </si>
  <si>
    <t>Hydro</t>
  </si>
  <si>
    <t>Geothermal</t>
  </si>
  <si>
    <t>c/kWh</t>
  </si>
  <si>
    <t>Peak</t>
  </si>
  <si>
    <t>Offpeak</t>
  </si>
  <si>
    <t>Fixed charge per day per metering point</t>
  </si>
  <si>
    <t>For electricity used in a fixed 12 hour daily pricing period (as agreed between the retailer and the customer from the range 7am-7pm; 7:30am to 7:30pm; or 8am to 8pm) Monday to Sunday inclusive</t>
  </si>
  <si>
    <t>Minimum annual fixed charge as for 7.5 kW (equivalent to 10.05 hp)</t>
  </si>
  <si>
    <t>All use</t>
  </si>
  <si>
    <t xml:space="preserve">Average crop evapotranspiration based on farm crop rotation schedule </t>
  </si>
  <si>
    <t>Sept</t>
  </si>
  <si>
    <t>Oct</t>
  </si>
  <si>
    <t>Nov</t>
  </si>
  <si>
    <t>Dec</t>
  </si>
  <si>
    <t>Jan</t>
  </si>
  <si>
    <t xml:space="preserve">Feb </t>
  </si>
  <si>
    <t>Mar</t>
  </si>
  <si>
    <t>April</t>
  </si>
  <si>
    <t>May</t>
  </si>
  <si>
    <t xml:space="preserve">15% Autumn plant </t>
  </si>
  <si>
    <t>15% spring plant</t>
  </si>
  <si>
    <t>25% early season ratoon</t>
  </si>
  <si>
    <t>25%  mid season ratoon</t>
  </si>
  <si>
    <t>20% late harvest ratoon</t>
  </si>
  <si>
    <t>Per day (av)</t>
  </si>
  <si>
    <t>Farm monthly crop moisture demand for September to May</t>
  </si>
  <si>
    <t>Total</t>
  </si>
  <si>
    <t>days per mth</t>
  </si>
  <si>
    <t>farm  average daily demand (mm/day)</t>
  </si>
  <si>
    <t>farm average monthly demand (mm/mth)</t>
  </si>
  <si>
    <t>Rainfall ( Bundaberg Airport - BOM data)</t>
  </si>
  <si>
    <t xml:space="preserve">Average Gross monthly (mm/mth) </t>
  </si>
  <si>
    <t>Average monthly crop use effective (mm/mth)</t>
  </si>
  <si>
    <t>Irrigation demand</t>
  </si>
  <si>
    <t>Average crop effective deficit (mm/mth)</t>
  </si>
  <si>
    <t>Gross irrigation required (mm/mth) 20% efficiency allowance</t>
  </si>
  <si>
    <t>mm/day</t>
  </si>
  <si>
    <t xml:space="preserve">Assumes: </t>
  </si>
  <si>
    <t>(i) Use of 40kW water winch (54 hp).  Alternative irrigation requires lower energy and includes flood, low pressure overhead, and drip</t>
  </si>
  <si>
    <t>(ii) delivering of 25 L/sec (range of 23-27 L/sec)</t>
  </si>
  <si>
    <t>(iii) crop uses 5 ML/h per year (range of 4-6ML)</t>
  </si>
  <si>
    <t>Notes about water and energy use</t>
  </si>
  <si>
    <t>Cells in yellow require manual input</t>
  </si>
  <si>
    <t>Farm water and energy use</t>
  </si>
  <si>
    <t xml:space="preserve">Nov </t>
  </si>
  <si>
    <t>Feb</t>
  </si>
  <si>
    <t xml:space="preserve">March </t>
  </si>
  <si>
    <t>Apr</t>
  </si>
  <si>
    <t>Fixed charges only per year</t>
  </si>
  <si>
    <t>Cost of full grid supply</t>
  </si>
  <si>
    <t>Shape of grid power use - with solar</t>
  </si>
  <si>
    <t>Shape of grid power use - without solar</t>
  </si>
  <si>
    <t>Solar capacity to fully meet demand (kWh)</t>
  </si>
  <si>
    <t>Equivalent annual cost</t>
  </si>
  <si>
    <t>Lifespan (years)</t>
  </si>
  <si>
    <t>Discount rate</t>
  </si>
  <si>
    <t>annuity factor</t>
  </si>
  <si>
    <t>Total cost</t>
  </si>
  <si>
    <t>Unmet demand from solar panels (kWh)</t>
  </si>
  <si>
    <t xml:space="preserve">Tariffs </t>
  </si>
  <si>
    <t>source: http://reneweconomy.com.au/hidden-cost-of-rooftop-solar-who-should-pay-for-maintenance-99200/</t>
  </si>
  <si>
    <t>Water pumping capability of 40kW water winch</t>
  </si>
  <si>
    <t>Water use for farm per month (ML)</t>
  </si>
  <si>
    <t>Days in the month</t>
  </si>
  <si>
    <t>Solar hours per day</t>
  </si>
  <si>
    <t>SAIDI</t>
  </si>
  <si>
    <t>2014-15</t>
  </si>
  <si>
    <t>2013-14</t>
  </si>
  <si>
    <t>2012-13</t>
  </si>
  <si>
    <t>2011-12</t>
  </si>
  <si>
    <t>Short Rural</t>
  </si>
  <si>
    <t>Long Rural</t>
  </si>
  <si>
    <t>SAIFI</t>
  </si>
  <si>
    <t>Grid reliability - Ergon</t>
  </si>
  <si>
    <t>Note from Government Gazette</t>
  </si>
  <si>
    <t>c/day</t>
  </si>
  <si>
    <t xml:space="preserve">It is unlikely that customers relying on supply via solar panels will experience worse reliability on average thatn from the grid, if the grid performance is taken to be Ergon's average performance.  </t>
  </si>
  <si>
    <t>Therefore, the assumption for this analysis is that reliability performance is the same for solar-powered farms as for grid-powered farms</t>
  </si>
  <si>
    <r>
      <t>Skoczek, Sample, and Dunlop,</t>
    </r>
    <r>
      <rPr>
        <i/>
        <sz val="11"/>
        <color theme="1"/>
        <rFont val="Times New Roman"/>
        <family val="1"/>
      </rPr>
      <t xml:space="preserve"> The Results of Performance Measurements of Field-aged Crystalline Silicon Photovoltaic Modules</t>
    </r>
    <r>
      <rPr>
        <sz val="11"/>
        <color theme="1"/>
        <rFont val="Times New Roman"/>
        <family val="1"/>
      </rPr>
      <t>, p</t>
    </r>
    <r>
      <rPr>
        <sz val="11"/>
        <color theme="1"/>
        <rFont val="Calibri"/>
        <family val="2"/>
        <scheme val="minor"/>
      </rPr>
      <t>ublished online 24 December 2008 in Wiley InterScience (www.interscience.wiley.com) DOI: 10.1002/pip.874, at http://www.physics.arizona.edu/~cronin/Solar/References/Degradation/2009PIP20yrSimodules.pdf</t>
    </r>
  </si>
  <si>
    <t>Solar panels typically come with a 25 year warranty, which compares favourably to warranties for other products.</t>
  </si>
  <si>
    <t>Solar panel reliability</t>
  </si>
  <si>
    <t>Solar panels have no moving parts to fail.</t>
  </si>
  <si>
    <t>Solar panel reliability scorecard - https://www.dnvgl.com/news/dnv-gl-releases-2016-solar-pv-module-reliability-scorecard-65088</t>
  </si>
  <si>
    <t>Maintenance involves washing dirt off the panels periodically.  This should be low cost for ground-mounted solar panels</t>
  </si>
  <si>
    <t>For roof-mounted residential panels, the cost of washing estimated at $10-20 per 200 watt panel.</t>
  </si>
  <si>
    <t>Cost trends for solar panels</t>
  </si>
  <si>
    <t>2020-21</t>
  </si>
  <si>
    <t>continuing tariff</t>
  </si>
  <si>
    <t>Tariff 20</t>
  </si>
  <si>
    <t>+12.3%</t>
  </si>
  <si>
    <t>phased out 30 June 2020; assumed to be moved to tariff 22A or tariff 20</t>
  </si>
  <si>
    <t>phased out 30 June 2020; assumed to be moved to tariff 22A or tariff 21</t>
  </si>
  <si>
    <t>phased out 30 June 2020; assumed to be moved to tariff 22A or tariff 22</t>
  </si>
  <si>
    <t>standard business tariff for small users</t>
  </si>
  <si>
    <t>+11.2%</t>
  </si>
  <si>
    <t>+15.8%</t>
  </si>
  <si>
    <t>0-10%</t>
  </si>
  <si>
    <t>10-25%</t>
  </si>
  <si>
    <t>25%+</t>
  </si>
  <si>
    <t>1.1 times as much</t>
  </si>
  <si>
    <t>1.25 times as much</t>
  </si>
  <si>
    <t>1.5 times as much</t>
  </si>
  <si>
    <t>Movement in transitional tariffs, tariff 62, 65, and 66</t>
  </si>
  <si>
    <t xml:space="preserve">Movement in standard tariffs </t>
  </si>
  <si>
    <t>Source: QCA, 2016-17 Final Determination - Regulated electricity prices for 2016-17, pp. 89-93 at http://www.qca.org.au/Electricity/Regional-consumers/Reg-Electricity-Prices/Final-Report/Regulated-Electricity-Prices-2016-17#finalpos</t>
  </si>
  <si>
    <t>Source: QCA, 2016-17 Final Determination - Regulated electricity prices for 2016-17, p. 65 at http://www.qca.org.au/Electricity/Regional-consumers/Reg-Electricity-Prices/Final-Report/Regulated-Electricity-Prices-2016-17#finalpos</t>
  </si>
  <si>
    <t>continuing tariff for small business users</t>
  </si>
  <si>
    <t>Note: assumes a 1.1 multiplier for 2017-18 to 2019-20</t>
  </si>
  <si>
    <t>Cost of supply - tariff 22A ($)</t>
  </si>
  <si>
    <t>Percentage of solar supply (%)</t>
  </si>
  <si>
    <t>Percentage of grid supply (%)</t>
  </si>
  <si>
    <t>Cost of supply - tariff 62 ($)</t>
  </si>
  <si>
    <t>Cost of supply - tariff 65 ($)</t>
  </si>
  <si>
    <t>Cost of supply - tariff 66 ($)</t>
  </si>
  <si>
    <t>Cost of mixed supply (grid + solar)</t>
  </si>
  <si>
    <t>average (%)</t>
  </si>
  <si>
    <t>Total cost - Tariff 62 + solar</t>
  </si>
  <si>
    <t>Total cost - Tariff 65 + solar</t>
  </si>
  <si>
    <t>Total cost - Tariff 66 + solar</t>
  </si>
  <si>
    <t>Requirement for more than one 40 kW water winch</t>
  </si>
  <si>
    <t>Grid power requirement after solar (kWh)</t>
  </si>
  <si>
    <t>calculated to maximise use of offpeak tariffs</t>
  </si>
  <si>
    <t xml:space="preserve">Total grid cost </t>
  </si>
  <si>
    <t>Total cost - Tariff 22A + solar</t>
  </si>
  <si>
    <t xml:space="preserve">Grid supply cost - tariff 22A </t>
  </si>
  <si>
    <t xml:space="preserve">Grid supply cost - tariff 62 </t>
  </si>
  <si>
    <t xml:space="preserve">Grid supply cost - tariff 65 </t>
  </si>
  <si>
    <t>Grid supply cost - tariff 66</t>
  </si>
  <si>
    <t>Sensitivity Analysis</t>
  </si>
  <si>
    <t>Summary</t>
  </si>
  <si>
    <t>Irrigation type</t>
  </si>
  <si>
    <t>water winch</t>
  </si>
  <si>
    <t>Full solar supply</t>
  </si>
  <si>
    <t>Cost of Supply</t>
  </si>
  <si>
    <t>Size of solar supply to supply full irrigation requirement</t>
  </si>
  <si>
    <t>Power rating (kW)</t>
  </si>
  <si>
    <t>Solar capacity (kW)</t>
  </si>
  <si>
    <t>Tariff 22A ($)</t>
  </si>
  <si>
    <t>Tariff 62 ($)</t>
  </si>
  <si>
    <t>Tariff 65 ($)</t>
  </si>
  <si>
    <t>Tariff 66 ($)</t>
  </si>
  <si>
    <t>Tariff 22A plus solar ($)</t>
  </si>
  <si>
    <t>Tariff 62 plus solar ($)</t>
  </si>
  <si>
    <t>Tariff 65 plus solar ($)</t>
  </si>
  <si>
    <t>Tariff 66 plus solar ($)</t>
  </si>
  <si>
    <t>Irrigated area (hectares)</t>
  </si>
  <si>
    <t>Risks of grid supply</t>
  </si>
  <si>
    <t>Rising tariffs, especially after the end of transitional tariffs 62, 65, and 66</t>
  </si>
  <si>
    <t>Farm type</t>
  </si>
  <si>
    <t>cane farm - Bundaberg region</t>
  </si>
  <si>
    <t>Peak = 10 am–8 pm on summer (Dec, Jan, Feb) weekdays or 540 hours per year</t>
  </si>
  <si>
    <t>First 10,000 kWh usage per month during 7am to 9pm, Monday to Friday inclusive</t>
  </si>
  <si>
    <t>Remaining usage</t>
  </si>
  <si>
    <t>Per kilowatt of connected motor capacity used for irrigation pumping</t>
  </si>
  <si>
    <t>Equipment failure</t>
  </si>
  <si>
    <t>Pump hourly usage -  existing AC system (kWh)</t>
  </si>
  <si>
    <t xml:space="preserve">Pumping delivery rate (L/sec) </t>
  </si>
  <si>
    <t>Pump size  kW (rated) - existing AC system</t>
  </si>
  <si>
    <t>Factor</t>
  </si>
  <si>
    <t xml:space="preserve">Interest rate on the solar panels </t>
  </si>
  <si>
    <t>Lifespan of panels</t>
  </si>
  <si>
    <t>1 year decrease</t>
  </si>
  <si>
    <t>+10%</t>
  </si>
  <si>
    <t>Source: Solarchoice at http://www.solarchoice.net.au/blog/news/commercial-solar-pv-system-prices-august-2016-240816</t>
  </si>
  <si>
    <t xml:space="preserve">Note: Using data from Solar Choice’s installer network database, which contains regularly-updated pricing and product details from over 100 solar installation companies across Australia. Although all pricing calculations do account for federal incentives and GST, they do not incorporate meter installation fees or additional costs, such as ground-mounting or grid connection studies.  </t>
  </si>
  <si>
    <t>Total mm/day</t>
  </si>
  <si>
    <t>Not included in calculation at present</t>
  </si>
  <si>
    <t>Number of hours of use of water winch to irrigate crop</t>
  </si>
  <si>
    <t>Total power requirement per month (kWh)</t>
  </si>
  <si>
    <t>10% decrease</t>
  </si>
  <si>
    <t>10% increase</t>
  </si>
  <si>
    <t>no effect as tariff 62 is generally the cheapest tariff to use</t>
  </si>
  <si>
    <t>Change</t>
  </si>
  <si>
    <t>Sensitivity</t>
  </si>
  <si>
    <t>High</t>
  </si>
  <si>
    <t>Low</t>
  </si>
  <si>
    <t>Medium</t>
  </si>
  <si>
    <t>Nil</t>
  </si>
  <si>
    <t>No or very little impact based on current assumptions</t>
  </si>
  <si>
    <t>Cost of solar panels</t>
  </si>
  <si>
    <t>Change  from late ratoon to spring planting</t>
  </si>
  <si>
    <t>Solar panel efficiency factor</t>
  </si>
  <si>
    <t>Number of cloudy days</t>
  </si>
  <si>
    <t>Offpeak component of tariff 22A, 62, 66</t>
  </si>
  <si>
    <t>Fixed charges for tariff 62</t>
  </si>
  <si>
    <t>Offpeak usage charges for tariff 62</t>
  </si>
  <si>
    <t>Increase in annual power cost</t>
  </si>
  <si>
    <t>Sensitivity to the following factors:</t>
  </si>
  <si>
    <t>Impact on power cost greater than change in contributing factor</t>
  </si>
  <si>
    <t>Note</t>
  </si>
  <si>
    <t>Monthly</t>
  </si>
  <si>
    <t>Sensitivity calculation</t>
  </si>
  <si>
    <t>Original power cost</t>
  </si>
  <si>
    <t>% change</t>
  </si>
  <si>
    <t>Revised power cost after change in contributing factor</t>
  </si>
  <si>
    <t>+$1 per 200W panel</t>
  </si>
  <si>
    <t>Impact on power cost less than 20% of change in contributing factor</t>
  </si>
  <si>
    <t>Impact on power cost less than change in contributing factor but more than 20% of change in contributing factor</t>
  </si>
  <si>
    <t xml:space="preserve">Cost of cleaning solar panels </t>
  </si>
  <si>
    <t xml:space="preserve">+1% </t>
  </si>
  <si>
    <t>For a 40 hectare farm using 55 kW of solar panels</t>
  </si>
  <si>
    <t>Information on reliability of solar panels</t>
  </si>
  <si>
    <t>Number of interruptions per year</t>
  </si>
  <si>
    <t>from Ergon annual reports</t>
  </si>
  <si>
    <t xml:space="preserve">This is because solar panels are inherently highly reliable, with only the inverter experiencing moderate levels of failure.  </t>
  </si>
  <si>
    <t>The solar systems installed on the cane farms may not have inverters if thefarm uses power in the form of DC power.  It is noted that Kelvin's farm did not install an inverter.</t>
  </si>
  <si>
    <t>No Ergon reliability figures were available just for  Bundaberg area</t>
  </si>
  <si>
    <t>Minutes off supply per year - network-wide figures</t>
  </si>
  <si>
    <t>From feed-in tariffs</t>
  </si>
  <si>
    <t>This spreadsheet compares the cost of power for cane farms in the Bundaberg region both with and without solar</t>
  </si>
  <si>
    <t>The summary tab includes the main findings and enables the user to enter the size of the farm in hectares and a chosen level of solar power</t>
  </si>
  <si>
    <t>See below</t>
  </si>
  <si>
    <t>Grid supply - tariff 22A</t>
  </si>
  <si>
    <t>Solar plus tariff 22A</t>
  </si>
  <si>
    <t>Grid supply - tariff 62</t>
  </si>
  <si>
    <t>Grid supply - tariff 65</t>
  </si>
  <si>
    <t>Grid supply - tariff 66</t>
  </si>
  <si>
    <t>Solar plus tariff 66</t>
  </si>
  <si>
    <t>Solar plus tariff 65</t>
  </si>
  <si>
    <t>Solar plus tariff 62</t>
  </si>
  <si>
    <t>Solar supply is considered to be at least as reliable as grid supply</t>
  </si>
  <si>
    <t>These risks only really arise if the farm is disconnected from the grid</t>
  </si>
  <si>
    <t>Off-peak usage charges for tariff 62</t>
  </si>
  <si>
    <t>monthly average</t>
  </si>
  <si>
    <t>Remaining kilowatts - per kW</t>
  </si>
  <si>
    <t>First 7.5 kilowatts - per kW</t>
  </si>
  <si>
    <t>capacity charge</t>
  </si>
  <si>
    <t>fixed charges spread over 9 months</t>
  </si>
  <si>
    <t>Fixed charge</t>
  </si>
  <si>
    <t>Transitional arrangements</t>
  </si>
  <si>
    <t>For the period 2016-17 to 2019-20, the QCA is trying to set a tariff path for transitional tariffs (62, 65, 66) that keep the absolute dollar gap between transitional tariffs and longer-term standard business tariffs the same.</t>
  </si>
  <si>
    <t>In 2016-17, the QCA moved standard business tariffs by 11.2% (e.g. tariff 20), but transitional tariffs by 1.1 times as much.  The QCA's general position is that where standard tariffs move by a certain percentage, then transitional tariffs move by more (see table below).</t>
  </si>
  <si>
    <t>Recent movements in tariffs</t>
  </si>
  <si>
    <t>Could instead be a 1.25 or 1.5 multiplier if rises in tariff 22A are higher</t>
  </si>
  <si>
    <t>Tariff 22A is not a transitional tariff</t>
  </si>
  <si>
    <t>Tariff 20 is the tariff that Tariffs 62-66 may transition to</t>
  </si>
  <si>
    <t>Percent increase in 2020-21</t>
  </si>
  <si>
    <t>Upfront cost</t>
  </si>
  <si>
    <t>On-going maintenance cost</t>
  </si>
  <si>
    <t>Source: Lenzen et al 2016, Simulating low-carbon electricity supply for Australia, Applied Energy, Vol 179, 1 October 2016, pp 553-564</t>
  </si>
  <si>
    <t>Could add an allowance to cover possible peak use in months of high power use (Nov/Dec/Jan) where the combination of solar plus off-peak power is projected to only just provide enough power for irrigation</t>
  </si>
  <si>
    <t>24 hours - pumping capability (ML/mth)</t>
  </si>
  <si>
    <t>12 hours - pumping capability (ML/mth)</t>
  </si>
  <si>
    <t>10 hours - pumping capability (ML/mth)</t>
  </si>
  <si>
    <t>Other revenues from installing solar panels</t>
  </si>
  <si>
    <t>Cost of supply in 2020-21 using projected tariffs</t>
  </si>
  <si>
    <t>Grid supply</t>
  </si>
  <si>
    <t>Solar plus tariff 22A ($)</t>
  </si>
  <si>
    <t>Solar plus tariff 20 ($)</t>
  </si>
  <si>
    <t>Saving from solar installation 2020 onwards</t>
  </si>
  <si>
    <t>Mixed supply (solar plus grid)</t>
  </si>
  <si>
    <t>Total rise over period 2017-21 (%)</t>
  </si>
  <si>
    <t>Projected cost</t>
  </si>
  <si>
    <t>Tariff 20 ($)</t>
  </si>
  <si>
    <t>Savings from installing solar panels</t>
  </si>
  <si>
    <t>Required solar for min power cost (kWh)</t>
  </si>
  <si>
    <t>average cost of solar per month (cents per kWh)</t>
  </si>
  <si>
    <t>Tariff 33</t>
  </si>
  <si>
    <t xml:space="preserve">All use (for a minimum of 18 hours per day, but the time when supply is available is subject to varation at the absolute discretion of the distribution entity) </t>
  </si>
  <si>
    <t>Charges are nil so it has been assumed that they would be the same as tariff 20 or 22A if there were no other tariff applicable at the end-user premises</t>
  </si>
  <si>
    <t>+5.8%</t>
  </si>
  <si>
    <t>Shadow cost of grid power - tariff 33</t>
  </si>
  <si>
    <t>Shadow grid supply cost - tariff 33</t>
  </si>
  <si>
    <t>Solar plus tariff 33 ($)</t>
  </si>
  <si>
    <t>Tariff 33 ($)</t>
  </si>
  <si>
    <t>Tariff 33 is not a transitional tariff</t>
  </si>
  <si>
    <t xml:space="preserve">2020-21 tariff assuming transition to tariff 20 </t>
  </si>
  <si>
    <t xml:space="preserve">2020-21 tariff assuming transition to tariff 33 </t>
  </si>
  <si>
    <t>range</t>
  </si>
  <si>
    <t>Cost of full grid supply (excluding GST)</t>
  </si>
  <si>
    <t>Lowest cost arrangement ($) ex-GST</t>
  </si>
  <si>
    <t>Minimum power cost ($ per season) ex-GST</t>
  </si>
  <si>
    <t>Equivalent cost of solar (cents per kWh) ex-GST</t>
  </si>
  <si>
    <t>Excludes GST</t>
  </si>
  <si>
    <t xml:space="preserve">Note: Nil fixed charge where it operates in conjunction with another tariff.  Assume a fixed charge equal to that for tariff 20 or 22A where it operates by itself </t>
  </si>
  <si>
    <t>Note: the above prices include GST</t>
  </si>
  <si>
    <t>Large-scale solar (Utility PV)</t>
  </si>
  <si>
    <t>Note: assumed to include GST - not specified in source</t>
  </si>
  <si>
    <t>ex-GST</t>
  </si>
  <si>
    <t>Annual inspection (ex-GST)</t>
  </si>
  <si>
    <t>annual cost to wash per 200 W panel (ex-GST)</t>
  </si>
  <si>
    <t>total annual maintenance cost (ex-GST)</t>
  </si>
  <si>
    <t>Lenzen estimate ($33/kw/year) for utility PV (ex-GST)</t>
  </si>
  <si>
    <t>unstated but assumed to include GST</t>
  </si>
  <si>
    <t>Solar dispatch per month (kWh)</t>
  </si>
  <si>
    <t>Weighted average including fixed costs</t>
  </si>
  <si>
    <t>Solar panel fixed capacity required fully to meet load (kW)</t>
  </si>
  <si>
    <t>fixed charges for 9 months for tariff 66, then switched to tariff 62 for 3 months of the year, all averaged over 9 months</t>
  </si>
  <si>
    <t>Change from late ratoon to spring planting</t>
  </si>
  <si>
    <t>Grid supply cost - tariff 20</t>
  </si>
  <si>
    <t>Total cost - tariff 20 + solar</t>
  </si>
  <si>
    <t>Tariff 20 plus solar ($)</t>
  </si>
  <si>
    <t>Mix of grid and solar power - for level of solar capacity listed above (excluding GST)</t>
  </si>
  <si>
    <t>Grid supply - tariff 20</t>
  </si>
  <si>
    <t>Solar plus tariff 20</t>
  </si>
  <si>
    <t>Note: sensitivity analysis calculated compared to a 40 hectare farm using 55 kV of solar panels</t>
  </si>
  <si>
    <t>Saving compared with supply via the grid using cheapest tariff (ex GST)</t>
  </si>
  <si>
    <t>Comparison cost for maintenance - not used</t>
  </si>
  <si>
    <t xml:space="preserve"> </t>
  </si>
  <si>
    <t>Months above designated "Yes" require more than one 40 kW water winch for the designated number of hours per day - could determine required larger size of water winch by inputting values in Modelling Water and Power Req: F17 until there are no "Yes" above</t>
  </si>
  <si>
    <t>Tariff 24</t>
  </si>
  <si>
    <t>per kWh per month</t>
  </si>
  <si>
    <t>business seasonal time-of-use demand tariff</t>
  </si>
  <si>
    <t>+17.1%</t>
  </si>
  <si>
    <t>Tariff 24 is not a transitional tariff</t>
  </si>
  <si>
    <t>Shadow cost of grid power - tariff 20</t>
  </si>
  <si>
    <t>Shadow cost of grid power - tariff 24</t>
  </si>
  <si>
    <t xml:space="preserve">July </t>
  </si>
  <si>
    <t>August</t>
  </si>
  <si>
    <t>June</t>
  </si>
  <si>
    <t>July</t>
  </si>
  <si>
    <t xml:space="preserve">The summary page will then provide you with information about: </t>
  </si>
  <si>
    <t xml:space="preserve">  (ii) the cost of electricity supply using the mix of grid and solar PV that you specified in the cells above; </t>
  </si>
  <si>
    <t xml:space="preserve">  (iii) the lowest cost mix of grid and solar PV power that meets your irrigation requirements; and</t>
  </si>
  <si>
    <t xml:space="preserve">  (iv) savings from installing solar panels compared with drawing electricity from the grid.</t>
  </si>
  <si>
    <t xml:space="preserve">Other tabs  </t>
  </si>
  <si>
    <r>
      <rPr>
        <b/>
        <i/>
        <sz val="11"/>
        <color theme="1"/>
        <rFont val="Calibri"/>
        <family val="2"/>
        <scheme val="minor"/>
      </rPr>
      <t>Water and power req tab</t>
    </r>
    <r>
      <rPr>
        <sz val="11"/>
        <color theme="1"/>
        <rFont val="Calibri"/>
        <family val="2"/>
        <scheme val="minor"/>
      </rPr>
      <t xml:space="preserve"> summarises the amount of water required for irrigation of sugar cane in the Bundaberg region, and the power required to pump this amount of water subject to assumptions about rainfall</t>
    </r>
  </si>
  <si>
    <r>
      <rPr>
        <b/>
        <i/>
        <sz val="11"/>
        <color theme="1"/>
        <rFont val="Calibri"/>
        <family val="2"/>
        <scheme val="minor"/>
      </rPr>
      <t>Tariffs tab</t>
    </r>
    <r>
      <rPr>
        <i/>
        <sz val="11"/>
        <color theme="1"/>
        <rFont val="Calibri"/>
        <family val="2"/>
        <scheme val="minor"/>
      </rPr>
      <t xml:space="preserve"> </t>
    </r>
    <r>
      <rPr>
        <sz val="11"/>
        <color theme="1"/>
        <rFont val="Calibri"/>
        <family val="2"/>
        <scheme val="minor"/>
      </rPr>
      <t>summarises the range of tariffs used</t>
    </r>
  </si>
  <si>
    <r>
      <rPr>
        <b/>
        <i/>
        <sz val="11"/>
        <color theme="1"/>
        <rFont val="Calibri"/>
        <family val="2"/>
        <scheme val="minor"/>
      </rPr>
      <t>Cost of Supply tab</t>
    </r>
    <r>
      <rPr>
        <sz val="11"/>
        <color theme="1"/>
        <rFont val="Calibri"/>
        <family val="2"/>
        <scheme val="minor"/>
      </rPr>
      <t xml:space="preserve"> calculates the cost of electricity supply purely from the grid or from the grid and solar panels based on the irrigation requirement and the specified number of solar panels</t>
    </r>
  </si>
  <si>
    <r>
      <rPr>
        <b/>
        <i/>
        <sz val="11"/>
        <color theme="1"/>
        <rFont val="Calibri"/>
        <family val="2"/>
        <scheme val="minor"/>
      </rPr>
      <t>Sensitivity Analysis tab</t>
    </r>
    <r>
      <rPr>
        <sz val="11"/>
        <color theme="1"/>
        <rFont val="Calibri"/>
        <family val="2"/>
        <scheme val="minor"/>
      </rPr>
      <t xml:space="preserve"> provides information on how sensitive the calculations are to the assumptions made about the amount of irrigation required, the cost of power, the cost of installing solar panels, and other assumptions.</t>
    </r>
  </si>
  <si>
    <r>
      <rPr>
        <b/>
        <i/>
        <sz val="11"/>
        <color theme="1"/>
        <rFont val="Calibri"/>
        <family val="2"/>
        <scheme val="minor"/>
      </rPr>
      <t>Reliability tab</t>
    </r>
    <r>
      <rPr>
        <b/>
        <sz val="11"/>
        <color theme="1"/>
        <rFont val="Calibri"/>
        <family val="2"/>
        <scheme val="minor"/>
      </rPr>
      <t xml:space="preserve"> </t>
    </r>
    <r>
      <rPr>
        <sz val="11"/>
        <color theme="1"/>
        <rFont val="Calibri"/>
        <family val="2"/>
        <scheme val="minor"/>
      </rPr>
      <t>provides information on the reliability of grid-supplied power and also of solar power</t>
    </r>
  </si>
  <si>
    <r>
      <t xml:space="preserve">Capital &amp; operating cost solar tab </t>
    </r>
    <r>
      <rPr>
        <sz val="11"/>
        <color theme="1"/>
        <rFont val="Calibri"/>
        <family val="2"/>
        <scheme val="minor"/>
      </rPr>
      <t>specifies the cost of installing and maintaining solar panels and also provides information on the trends in the cost of installing solar panels</t>
    </r>
  </si>
  <si>
    <t xml:space="preserve">  (i) what the cost of electricity from the grid would be based on a range of tariffs and assuming no installed solar panels; </t>
  </si>
  <si>
    <r>
      <t xml:space="preserve">Go to the </t>
    </r>
    <r>
      <rPr>
        <b/>
        <i/>
        <sz val="11"/>
        <color theme="1"/>
        <rFont val="Calibri"/>
        <family val="2"/>
        <scheme val="minor"/>
      </rPr>
      <t>Summary tab.</t>
    </r>
    <r>
      <rPr>
        <sz val="11"/>
        <color theme="1"/>
        <rFont val="Calibri"/>
        <family val="2"/>
        <scheme val="minor"/>
      </rPr>
      <t xml:space="preserve">  In the yellow cells at the top of the summary tab sheet, please enter irrigated area, the power rating of the irrigation (in kWh), the pumping delivery rate, and the planned solar PV capacity.</t>
    </r>
  </si>
  <si>
    <t>Project plan: Comparing the cost of existing supply arrangements through the grid with supply from solar panels</t>
  </si>
  <si>
    <t>It calculates the cost of grid supply (using Ergon Energy tariffs) and compares this withwhat the cost of supply would be via a mix of grid and solar power, or purely using solar power.</t>
  </si>
  <si>
    <t>It determines the mix of grid and solar power that results in the lowest cost of electricity.</t>
  </si>
  <si>
    <t>Note: Projections for tariffs 62, 65, and 66 are based on BRIG estimates</t>
  </si>
  <si>
    <t>Note: Projections for tariff 20, 22A, 24, and 33 are based on AEMC 2016 price trends report</t>
  </si>
  <si>
    <t>For large, ground-mounted systems, washing may need to be more frequent, but the cost is estimated to be $3 per panel because it is easier to reach the panels</t>
  </si>
  <si>
    <t xml:space="preserve">There is the possibilit of earning money from exporting power from the solar panels to the grid through the feed-in tariff.  </t>
  </si>
  <si>
    <t>However, Ergon generally only permits connection of solar systems up to 5 kW.  This would be far below the general size of installed solar panels for an average size irrigated cane farm.</t>
  </si>
  <si>
    <t>Earning income from the feed-in tariff would rqeuire the farm to incur the costs of grid-connection as a user unless the farm was registered as a generator.  It si generally only feasible to register as a generator above 50 kW</t>
  </si>
  <si>
    <t>The optimum solution may be for the solar panels to be set up as a single large generator source supplying a large number of farms instead of feeding power back to the grid</t>
  </si>
  <si>
    <t>Income from the feed-in tariff therefore assumed to be zero at this stage</t>
  </si>
  <si>
    <t>Taken to be $1342 including GST or $1220 without GST.  Compare SolarChoices August 2016 estimated cost of $1290/kW inc GST compared with Lenzen 2016 estimated cost of $1342/kW inc GST</t>
  </si>
  <si>
    <t>Cement pad in $/kW (ex -GST)</t>
  </si>
  <si>
    <t>Based on costs at K's farm of around $363/kW</t>
  </si>
  <si>
    <t>Total annual cost with maintenance</t>
  </si>
  <si>
    <t>Total capital cost (ex-GST)</t>
  </si>
  <si>
    <t>Installation cost in $/kW (ex GST)</t>
  </si>
  <si>
    <t>Loss of production from land under solar panels</t>
  </si>
  <si>
    <t>Also, the amount of land occupied by panels is relatively small.  A reasonable assumption is that you can generate 150 watts/m2.</t>
  </si>
  <si>
    <t>Solar panels occupy land that otherwise might be under crops.  However, farmers can choose the least productive land to place the solar panels (so long as it is exposed to good sunlight and is otherwise suitable).</t>
  </si>
  <si>
    <t>Accordingly the lost production from land under solar panels is not taken into account in this spreadsheet.</t>
  </si>
  <si>
    <t>So 55 kW would cover no more than 370 square metres or 0.04 hectare assuming a 200 watt panel was about 1342mm by 990mm</t>
  </si>
  <si>
    <t>Cost per kWh of installed battery capacity</t>
  </si>
  <si>
    <t>Cost of batteries</t>
  </si>
  <si>
    <t xml:space="preserve">2020-21 tariff assuming transition to tariff 24 </t>
  </si>
  <si>
    <t>14 hours - pumping capability (ML/mth)</t>
  </si>
  <si>
    <t>Forecast 2019-20 tariff</t>
  </si>
  <si>
    <t>Shadow grid supply cost - tariff 24</t>
  </si>
  <si>
    <t>calculated on assumption that most or all use is at offpeak rates and there is no peak demand charge (apart from the minimum 3kW offpeak demand charge in the non-summer months).  Assumes that any peak use in summer is spread equally over 10 days during the month</t>
  </si>
  <si>
    <t>Total cost - tariff 24 + solar</t>
  </si>
  <si>
    <t>Total cost - tariff 33 + solar</t>
  </si>
  <si>
    <t>plus cost of solar including maintenance ($)</t>
  </si>
  <si>
    <t>Solar plus tariff 24 ($)</t>
  </si>
  <si>
    <t>Tariff 24 ($)</t>
  </si>
  <si>
    <t>Capital and operating costs of solar panels and batteries</t>
  </si>
  <si>
    <t>How to Use Instructions</t>
  </si>
  <si>
    <t>Updates</t>
  </si>
  <si>
    <t xml:space="preserve">This spreadsheet is valid for sugar cane crop grown in the Bundaberg region.  </t>
  </si>
  <si>
    <t>Use with other crops</t>
  </si>
  <si>
    <t>The spreadsheet models the water, rainfall,  irrigation requirements, and expected solar output in the Bundaberg region for sugar cane crops grown over the 9 months from August to May.</t>
  </si>
  <si>
    <t>The spreadsheet should be updated each financial year with current prices for electricity from the grid and current costs of solar panels and batteries</t>
  </si>
  <si>
    <t>Assumes solar panels do not increase or decrease in price between now and 2020-21</t>
  </si>
  <si>
    <t>Cost of grid power - tariff 22A ($)</t>
  </si>
  <si>
    <t>Cost of grid power - tariff 20 ($)</t>
  </si>
  <si>
    <t>Cost of grid power - tariff 24 ($)</t>
  </si>
  <si>
    <t>Cost of grid power - tariff 33 ($)</t>
  </si>
  <si>
    <t>Tariff 24 plus solar ($)</t>
  </si>
  <si>
    <t>Tariff 33 plus solar ($)</t>
  </si>
  <si>
    <t>Projected cost of power in 2020-21 (full grid supply)</t>
  </si>
  <si>
    <t>Power failures leading to poor reliability</t>
  </si>
  <si>
    <t>Prolonged cloudy but not rainy weather - reducing solar output but not reducing the irrigated water pumping requirement</t>
  </si>
  <si>
    <t>Grid supply - tariff 24</t>
  </si>
  <si>
    <t>Grid supply - tariff 33</t>
  </si>
  <si>
    <t>Solar plus tariff 24</t>
  </si>
  <si>
    <t>Solar plus tariff 33</t>
  </si>
  <si>
    <t>Discount rate (%)</t>
  </si>
  <si>
    <t>Annuity factor</t>
  </si>
  <si>
    <t>Maintenance cost</t>
  </si>
  <si>
    <t>plus cost of batteries including maintenance ($)</t>
  </si>
  <si>
    <t>average cost of batteries per month (cents per kWh)</t>
  </si>
  <si>
    <t>Battery capacity available to meet demand (kWh)</t>
  </si>
  <si>
    <t>no information available to suggest significant maintenance costs</t>
  </si>
  <si>
    <t xml:space="preserve">Solar annual decay in performance </t>
  </si>
  <si>
    <t>0.2-0.5% per year</t>
  </si>
  <si>
    <t>To use with other crops, the water requirements for a given crop, local rainfall, irrigation requirements, and solar output for a given location need to be modelled to produce an accurate picture of the net water requirements per month after rainfall, and the solar power production per month.</t>
  </si>
  <si>
    <t>To do this, the water requirements and rainfall per month for a given crop and location can be entered in the water and power req tab.  The solar output for a given month and location can be entered in the cost of supply tab.</t>
  </si>
  <si>
    <t>Cost of battery providing power for 2 hours (ex GST) before installation costs</t>
  </si>
  <si>
    <t>Power output of battery (kW)</t>
  </si>
  <si>
    <t>Cost pre-installation, ex-GST ($)</t>
  </si>
  <si>
    <t>Battery capacity (kW)</t>
  </si>
  <si>
    <t>Duration of output of battery</t>
  </si>
  <si>
    <t>Select either 0 or 50</t>
  </si>
  <si>
    <t>assumed to be the same as the warranty period only although battery may have a longer life in practice</t>
  </si>
  <si>
    <t>Battery duration (hours) - at above capacity</t>
  </si>
  <si>
    <t>Duration of output (hours)</t>
  </si>
  <si>
    <t>Source: Tesla website, https://www.tesla.com/en_AU/powerpack/design#/</t>
  </si>
  <si>
    <t>Output (kW)</t>
  </si>
  <si>
    <t>Excess solar output per month available to charge battery (kWh)</t>
  </si>
  <si>
    <t>Available solar output per month to charge battery</t>
  </si>
  <si>
    <t>May require more than one water winch depending on size of farm - see below</t>
  </si>
  <si>
    <t>Shape of grid power use - with solar plus battery</t>
  </si>
  <si>
    <t>Dispatched battery power during month</t>
  </si>
  <si>
    <t>Grid power requirement after solar AND after battery (kWh)</t>
  </si>
  <si>
    <t>Required size of system - without batteries</t>
  </si>
  <si>
    <t>Required size of system - with batteries</t>
  </si>
  <si>
    <t>Required batteries</t>
  </si>
  <si>
    <t>output (kW)</t>
  </si>
  <si>
    <t>duration of output (hours)</t>
  </si>
  <si>
    <t>Cost of mixed supply (grid + solar + battery)</t>
  </si>
  <si>
    <t>Total cost - Tariff 22A + solar + battery</t>
  </si>
  <si>
    <t>Total cost - Tariff 62 + solar + battery</t>
  </si>
  <si>
    <t>Total cost - Tariff 65 + solar + battery</t>
  </si>
  <si>
    <t>Total cost - Tariff 66 + solar + battery</t>
  </si>
  <si>
    <t>Total cost - tariff 20 + solar + battery</t>
  </si>
  <si>
    <t>Total cost - tariff 24 + solar + battery</t>
  </si>
  <si>
    <t>Total cost - tariff 33 + solar + battery</t>
  </si>
  <si>
    <t>Ergon only allow interconnection of solar systems up to 5 kW before it charges high connection fees or blocks export of energy from solar panels into the grid</t>
  </si>
  <si>
    <t>Saving from solar + battery installation 2020 onwards</t>
  </si>
  <si>
    <t>Assumes batteries do not increase or decrease in price between now and 2020-21</t>
  </si>
  <si>
    <t>Mixed supply (solar plus battery plus grid)</t>
  </si>
  <si>
    <t>Solar plus battery plus tariff 22A ($)</t>
  </si>
  <si>
    <t>Solar plus battery plus tariff 20 ($)</t>
  </si>
  <si>
    <t>Solar plus battery plus tariff 24 ($)</t>
  </si>
  <si>
    <t>Solar plus battery plus tariff 33 ($)</t>
  </si>
  <si>
    <t xml:space="preserve">Solar supply plus batteries which are set up to operate in 'islanded mode' are more reliable than grid supply alone.  </t>
  </si>
  <si>
    <t>'Islanded mode' means where the solar plus battery circuit to set up to operate safely if the grid fails.</t>
  </si>
  <si>
    <t>Mix of grid and solar power plus batteries - for level of solar capacity and batteries listed above (excluding GST)</t>
  </si>
  <si>
    <t>Tariff 20 plus solar plus batteries ($)</t>
  </si>
  <si>
    <t>Tariff 22A plus solar plus batteries ($)</t>
  </si>
  <si>
    <t>Tariff 24 plus solar plus batteries ($)</t>
  </si>
  <si>
    <t>Tariff 33 plus solar plus batteries ($)</t>
  </si>
  <si>
    <t>Tariff 62 plus solar plus batteries ($)</t>
  </si>
  <si>
    <t>Tariff 65 plus solar plus batteries ($)</t>
  </si>
  <si>
    <t>Tariff 66 plus solar plus batteries ($)</t>
  </si>
  <si>
    <t>Full solar and battery supply</t>
  </si>
  <si>
    <t>When solar panel capacity is equal to:</t>
  </si>
  <si>
    <t xml:space="preserve">   Battery output (kW)</t>
  </si>
  <si>
    <t xml:space="preserve">   Battery duration (hours)</t>
  </si>
  <si>
    <t>Annual cost ($) excluding GST</t>
  </si>
  <si>
    <t>Savings from installing solar panels plus batteries</t>
  </si>
  <si>
    <t>Lookup table for cell F53</t>
  </si>
  <si>
    <t>Solar plus battery plus tariff 22A</t>
  </si>
  <si>
    <t>Solar plus battery plus tariff 62</t>
  </si>
  <si>
    <t>Solar plus battery plus tariff 65</t>
  </si>
  <si>
    <t>Solar plus battery plus tariff 66</t>
  </si>
  <si>
    <t>Solar plus battery plus tariff 20</t>
  </si>
  <si>
    <t>Solar plus battery plus tariff 24</t>
  </si>
  <si>
    <t>Solar plus battery plus tariff 33</t>
  </si>
  <si>
    <t>Equivalent cost of batteries (cents per kWh) ex-GST</t>
  </si>
  <si>
    <t>Tesla claims in Tesla Powerpack 2 datasheet that:</t>
  </si>
  <si>
    <t>Powerpack 2 can smooth out intermittacy in renewables, can operate when the grid goes down,</t>
  </si>
  <si>
    <t>Tesla states this capacity is fully useable</t>
  </si>
  <si>
    <t>Tesla states thisbattery can deliver 50kW charge at a time</t>
  </si>
  <si>
    <t>The battery is 100% dischargeable</t>
  </si>
  <si>
    <t>The battery operates from -30 c to +50 C</t>
  </si>
  <si>
    <t>System roundtrip efficiency is 87% (meaning 17% of power is lost in a full charge and discharge cycle</t>
  </si>
  <si>
    <t xml:space="preserve">This tariff shall not apply in conjunction with Tariff 22A at the same NMI.  </t>
  </si>
  <si>
    <t>less solar panel capacity may be required if batteries are also installed</t>
  </si>
  <si>
    <t>If battery capacity in cell f11 is 50, then specify a duration either 2, 3, or 4 hours. Otherwise select 0.  The capital costs of a battery with 50 kW and the selected duration are specified at the capital and operating cost solar tab.</t>
  </si>
  <si>
    <t>Maximum available battery capacity during month (kWh)</t>
  </si>
  <si>
    <t xml:space="preserve">Total useable solar generation per month without batteries (kWh) </t>
  </si>
  <si>
    <t xml:space="preserve">Maximum available hours of operation per day </t>
  </si>
  <si>
    <t xml:space="preserve">Available hours of operation per month </t>
  </si>
  <si>
    <t xml:space="preserve">Demand charge for top 4 demand days during peak or offpeak periods    Peak = 10 am–8 pm on summer (Dec, Jan, Feb) weekdays.  Offpeak = 10am-8pm on weekdays in non-summer months </t>
  </si>
  <si>
    <t>tariff 20</t>
  </si>
  <si>
    <t>tariff 24</t>
  </si>
  <si>
    <t>tariff 22A</t>
  </si>
  <si>
    <t>tariff 33</t>
  </si>
  <si>
    <t>tariff 62</t>
  </si>
  <si>
    <t>tariff 65</t>
  </si>
  <si>
    <t>tariff 66</t>
  </si>
  <si>
    <t>Increase from using extra peak use per day</t>
  </si>
  <si>
    <t>plus 2 hours at peak</t>
  </si>
  <si>
    <t>Sensitivity assessed on:</t>
  </si>
  <si>
    <t xml:space="preserve">Impact of 0% </t>
  </si>
  <si>
    <t xml:space="preserve">Impact of 1-10% </t>
  </si>
  <si>
    <t>Impact of 11-20%</t>
  </si>
  <si>
    <t>Impact of 21 or more%</t>
  </si>
  <si>
    <t>Nil for tariffs 20, 33, and 66.  Medium to High for tariffs 22A, 24, 62, and 65</t>
  </si>
  <si>
    <t>Cost of full grid supply - assuming 2 hours per day peak use above forecast from November to April</t>
  </si>
  <si>
    <t>Additional cost for using 2 hours/day use at peak times above forecast</t>
  </si>
  <si>
    <t xml:space="preserve">This tariff is applicable to business customers consuming less than 100MWh per annum in Ergon's distribution area. This tariff cannot be accessed by large customers. </t>
  </si>
  <si>
    <t>additional to above</t>
  </si>
  <si>
    <t>Note: The demand charge is calculated at the average kW demand over 80 half-hour periods each month (i.e. 4 days of 20 half hour periods at 10 hours per peak period).  For calculation of the offpeak demand charge in the summer period, there is a minimum chargeable demand of 3kW for the offpeak demand charge.  The charge is based on the maximum point of use within a given half-hour.  Peaks are averaged across the 4 maximum peak days of the month, NOT across the half-hours within a day.</t>
  </si>
  <si>
    <t xml:space="preserve">calculated on assumption that most or all use is at offpeak rates and there is no peak demand charge (apart from the minimum 3kW offpeak demand charge in the non-summer months).  Assumes that any peak use in summer is at the pump hourly usage rate and will occur over four summer peak days </t>
  </si>
  <si>
    <t xml:space="preserve">Maintenance cost </t>
  </si>
  <si>
    <t>Total capacity of battery per day (kWh)</t>
  </si>
  <si>
    <t>Total capacity of battery per 31 day month (kWh)</t>
  </si>
  <si>
    <t>Cost including assumed installation cost of 20% of the capital cost (ex GST)</t>
  </si>
  <si>
    <t>Total annual cost with maintenance per battery (ex-GST)</t>
  </si>
  <si>
    <t>Note: additionally, if the batteries are used close to their capacity, an adjustment should be taken of the gradual loss of depth of discharge of the battery and for the fact that perhaps only 95% of the capacity of the battery is useable.</t>
  </si>
  <si>
    <t>Where the battery has reasonable spare capacity in practice, these adjustments can be ignored.</t>
  </si>
  <si>
    <t xml:space="preserve">If very small or large values are entered in the solar capacity at cell F10, then the solver function may not find the lowest cost value.  It is important to trial a range of values to find the genuine lowest cost of electricity. </t>
  </si>
  <si>
    <t>solar % dispatched</t>
  </si>
  <si>
    <t>total peak use</t>
  </si>
  <si>
    <t>Minimum power requirement to drive motor</t>
  </si>
  <si>
    <t xml:space="preserve">Minimum solar installation to deliver power requirement </t>
  </si>
  <si>
    <t>Available solar output per month (kWh) (80% efficiency) - assumes panels generate enough power to provide minimum power requirements for irrigation system 70% of solar hours per day</t>
  </si>
  <si>
    <t xml:space="preserve">Number of hours per day to deliver estimated solar dispatch </t>
  </si>
  <si>
    <t>The key function of a battery would be to: (i) continue irrigation operation at cloudy times during the day and at the start and end of the day when the solar panels are not generating much output compared to the required output of the irrigation system; and (ii) provide flexibility to operate out of peak hours to minimiseteh risk of having to use electricity at peak times because of cloudy weather.</t>
  </si>
  <si>
    <t xml:space="preserve">    Requirement to use peak power</t>
  </si>
  <si>
    <t xml:space="preserve">    Amount of peak power required (kWh)</t>
  </si>
  <si>
    <t xml:space="preserve">    Offpeak hours per month </t>
  </si>
  <si>
    <t>Tariff 22A, 24 - 10 hours of peak per weekday</t>
  </si>
  <si>
    <t>Tariff 65 - 12 hours of peak per day</t>
  </si>
  <si>
    <t>Tariff 62 - 14 hours of peak per weekday</t>
  </si>
  <si>
    <t>Number of grid hours to irrigate after using solar</t>
  </si>
  <si>
    <t>Number of grid hours to irrigate after using solar plus battery</t>
  </si>
  <si>
    <t>negative values mean no savings</t>
  </si>
  <si>
    <t xml:space="preserve">  PLUS additional battery cost pa (if any)</t>
  </si>
  <si>
    <t>With batteries, required size of system to deliver min power requirements (kWh)</t>
  </si>
  <si>
    <t>Data validation range for cell F10 - Acceptable values for solar capacity</t>
  </si>
  <si>
    <t>Solar capacity (min required size as specified in cost of supply tab)</t>
  </si>
  <si>
    <t>Would depend on required output - no specific required minimum solar panel installation size</t>
  </si>
  <si>
    <t>Required size of system to deliver min power requirement (kW)</t>
  </si>
  <si>
    <t>Minimum power requirement (kW)</t>
  </si>
  <si>
    <t>2016-17 tariffs</t>
  </si>
  <si>
    <t>Lowest cost option for the given farm size</t>
  </si>
  <si>
    <t>Password</t>
  </si>
  <si>
    <t xml:space="preserve">Data validation values for cell f11 - Battery capacity (kW) </t>
  </si>
  <si>
    <t>Data validation values for cell F12 - Battery duration (hours)</t>
  </si>
  <si>
    <t>Cost of mix of solar plus grid supply plus batteries (ex GST)</t>
  </si>
  <si>
    <t>Projected saving in 2020-21 from adding solar and/or batteries (ex GST)</t>
  </si>
  <si>
    <t>if this were to include an additional 2 hours of peak use per day</t>
  </si>
  <si>
    <t>Need to solve the above blue cell F56 each time that new values are inserted in farm type above</t>
  </si>
  <si>
    <t>If the solver function is not showing on your version of excel, then install solver by clicking the Office button at the top left hand of the screen (the Office button looks like four boxes - one red, one blue, one yellow and one green), then click the excel options or options button, then click Add-ins from the left hand menu, then in the Manage Box at the bottom of the dialogue box select Excel Add-ins from the dropdown menu  and click go.  Then in the Add-ins available box, select the Solver Add-in check box and click OK.  If excel asks whether you wish to install the solver add-in function, select yes.</t>
  </si>
  <si>
    <r>
      <t>You can use the</t>
    </r>
    <r>
      <rPr>
        <i/>
        <sz val="11"/>
        <color theme="1"/>
        <rFont val="Calibri"/>
        <family val="2"/>
        <scheme val="minor"/>
      </rPr>
      <t xml:space="preserve"> Solver function</t>
    </r>
    <r>
      <rPr>
        <sz val="11"/>
        <color theme="1"/>
        <rFont val="Calibri"/>
        <family val="2"/>
        <scheme val="minor"/>
      </rPr>
      <t xml:space="preserve"> in Excel to solve for the lowest cost combination of grid power, solar power, and battery power</t>
    </r>
  </si>
  <si>
    <t xml:space="preserve">To install the Solver function: </t>
  </si>
  <si>
    <t>To use the Solver function once it is installed:</t>
  </si>
  <si>
    <t>The lowest cost of power is in the Summary tab at cell F56</t>
  </si>
  <si>
    <t>To solve, select cell F56, then click on the Data tab (at the top of the screen) and the Solver function to the right end of the Data ribbon, and then in the solver function dialogue box click the Solve button, and then click OK for the option of 'keep solver function'.</t>
  </si>
  <si>
    <t>This value may only be correct after the solver function is run on cell F56</t>
  </si>
  <si>
    <t>You will need Microsoft Excel 2007 or a later version of excel to install and use the solver function.</t>
  </si>
  <si>
    <t xml:space="preserve">Solving will give the lowest power cost and the associated solar capacity.   </t>
  </si>
  <si>
    <t>Financial year</t>
  </si>
  <si>
    <t>To update the spreadsheet with new electricity tariffs, go to the Tariffs tab and input the relevant new tariffs (ex GST) in the table.</t>
  </si>
  <si>
    <t>This spreadsheet is originally based on 2016-17 prices and forward estimates of future electricity prices to 2020-21</t>
  </si>
  <si>
    <t>This pricing data should be updated annually  when tariffs for the coming financial year are announced around May</t>
  </si>
  <si>
    <t xml:space="preserve">This spreadsheet is locked except for selected cells on the Summary tab.  </t>
  </si>
  <si>
    <t>The password to unlock any of the tabs is 'farm' (all lower case without the apostrophes)</t>
  </si>
  <si>
    <t>Tariffs can be updated at the Tariffs tab</t>
  </si>
</sst>
</file>

<file path=xl/styles.xml><?xml version="1.0" encoding="utf-8"?>
<styleSheet xmlns="http://schemas.openxmlformats.org/spreadsheetml/2006/main">
  <numFmts count="7">
    <numFmt numFmtId="6" formatCode="&quot;$&quot;#,##0;[Red]\-&quot;$&quot;#,##0"/>
    <numFmt numFmtId="164" formatCode="0.0"/>
    <numFmt numFmtId="165" formatCode="0.000"/>
    <numFmt numFmtId="166" formatCode="0.0%"/>
    <numFmt numFmtId="167" formatCode="0.000000000000000%"/>
    <numFmt numFmtId="168" formatCode="0.00000"/>
    <numFmt numFmtId="169" formatCode="&quot;$&quot;#,##0.000;[Red]\-&quot;$&quot;#,##0.000"/>
  </numFmts>
  <fonts count="22">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2"/>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u/>
      <sz val="11"/>
      <color theme="1"/>
      <name val="Calibri"/>
      <family val="2"/>
      <scheme val="minor"/>
    </font>
    <font>
      <sz val="11"/>
      <color rgb="FF000000"/>
      <name val="Calibri"/>
      <family val="2"/>
      <scheme val="minor"/>
    </font>
    <font>
      <sz val="11"/>
      <name val="Calibri"/>
      <family val="2"/>
      <scheme val="minor"/>
    </font>
    <font>
      <u/>
      <sz val="11"/>
      <name val="Calibri"/>
      <family val="2"/>
      <scheme val="minor"/>
    </font>
    <font>
      <sz val="11"/>
      <color theme="1"/>
      <name val="Times New Roman"/>
      <family val="1"/>
    </font>
    <font>
      <i/>
      <sz val="11"/>
      <color theme="1"/>
      <name val="Times New Roman"/>
      <family val="1"/>
    </font>
    <font>
      <b/>
      <sz val="14"/>
      <color rgb="FFFF0000"/>
      <name val="Calibri"/>
      <family val="2"/>
      <scheme val="minor"/>
    </font>
    <font>
      <i/>
      <sz val="11"/>
      <color theme="1"/>
      <name val="Calibri"/>
      <family val="2"/>
      <scheme val="minor"/>
    </font>
    <font>
      <b/>
      <i/>
      <sz val="11"/>
      <color theme="1"/>
      <name val="Calibri"/>
      <family val="2"/>
      <scheme val="minor"/>
    </font>
    <font>
      <b/>
      <i/>
      <sz val="11"/>
      <color rgb="FFFF0000"/>
      <name val="Calibri"/>
      <family val="2"/>
      <scheme val="minor"/>
    </font>
    <font>
      <sz val="11"/>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0.49998474074526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9" fontId="20" fillId="0" borderId="0" applyFont="0" applyFill="0" applyBorder="0" applyAlignment="0" applyProtection="0"/>
  </cellStyleXfs>
  <cellXfs count="211">
    <xf numFmtId="0" fontId="0" fillId="0" borderId="0" xfId="0"/>
    <xf numFmtId="0" fontId="1" fillId="0" borderId="0" xfId="0" applyFont="1"/>
    <xf numFmtId="0" fontId="0" fillId="0" borderId="0" xfId="0" applyFont="1"/>
    <xf numFmtId="0" fontId="0" fillId="0" borderId="0" xfId="0" applyAlignment="1">
      <alignment wrapText="1"/>
    </xf>
    <xf numFmtId="0" fontId="0" fillId="2" borderId="0" xfId="0" applyFill="1"/>
    <xf numFmtId="0" fontId="2" fillId="0" borderId="0" xfId="1"/>
    <xf numFmtId="2" fontId="0" fillId="0" borderId="0" xfId="0" applyNumberFormat="1"/>
    <xf numFmtId="1" fontId="0" fillId="0" borderId="0" xfId="0" applyNumberFormat="1"/>
    <xf numFmtId="0" fontId="5" fillId="0" borderId="0" xfId="0" applyFont="1"/>
    <xf numFmtId="0" fontId="6" fillId="0" borderId="0" xfId="0" applyFont="1"/>
    <xf numFmtId="0" fontId="0" fillId="0" borderId="0" xfId="0" applyFont="1" applyFill="1" applyBorder="1"/>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horizontal="left"/>
    </xf>
    <xf numFmtId="0" fontId="10" fillId="0" borderId="0" xfId="0" applyFont="1" applyFill="1" applyBorder="1"/>
    <xf numFmtId="1" fontId="0" fillId="0" borderId="0"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164" fontId="0" fillId="0" borderId="0" xfId="0" applyNumberFormat="1" applyFont="1" applyFill="1" applyBorder="1" applyAlignment="1">
      <alignment horizont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alignment horizontal="left"/>
    </xf>
    <xf numFmtId="0" fontId="13" fillId="0" borderId="0" xfId="0" applyFont="1" applyFill="1" applyBorder="1"/>
    <xf numFmtId="2" fontId="0" fillId="0" borderId="0" xfId="0" applyNumberFormat="1" applyFont="1" applyFill="1" applyBorder="1" applyAlignment="1">
      <alignment horizontal="center"/>
    </xf>
    <xf numFmtId="2" fontId="0" fillId="0" borderId="0" xfId="0" applyNumberFormat="1" applyFont="1" applyFill="1" applyBorder="1"/>
    <xf numFmtId="0" fontId="0" fillId="0" borderId="0" xfId="0" applyBorder="1"/>
    <xf numFmtId="0" fontId="5" fillId="0" borderId="0" xfId="0" applyFont="1" applyBorder="1"/>
    <xf numFmtId="1" fontId="11" fillId="0" borderId="0" xfId="0" applyNumberFormat="1" applyFont="1" applyFill="1" applyBorder="1" applyAlignment="1">
      <alignment horizontal="center" wrapText="1"/>
    </xf>
    <xf numFmtId="1" fontId="11" fillId="0" borderId="0" xfId="0" applyNumberFormat="1" applyFont="1" applyFill="1" applyBorder="1" applyAlignment="1"/>
    <xf numFmtId="1" fontId="11" fillId="0" borderId="0" xfId="0" applyNumberFormat="1" applyFont="1" applyFill="1" applyBorder="1" applyAlignment="1">
      <alignment wrapText="1"/>
    </xf>
    <xf numFmtId="0" fontId="0" fillId="0" borderId="0" xfId="0" applyFont="1" applyFill="1" applyBorder="1" applyAlignment="1"/>
    <xf numFmtId="0" fontId="8" fillId="0" borderId="0" xfId="0" applyFont="1" applyFill="1" applyBorder="1"/>
    <xf numFmtId="0" fontId="7" fillId="0" borderId="0" xfId="0" applyFont="1" applyFill="1" applyBorder="1"/>
    <xf numFmtId="9" fontId="0" fillId="0" borderId="0" xfId="0" applyNumberFormat="1" applyFont="1" applyFill="1" applyBorder="1"/>
    <xf numFmtId="0" fontId="12" fillId="0" borderId="0" xfId="0" applyFont="1" applyFill="1" applyBorder="1"/>
    <xf numFmtId="0" fontId="12" fillId="0" borderId="0" xfId="0" applyFont="1" applyFill="1" applyBorder="1" applyAlignment="1">
      <alignment horizontal="left"/>
    </xf>
    <xf numFmtId="0" fontId="9" fillId="0" borderId="0" xfId="0" applyFont="1" applyFill="1" applyBorder="1"/>
    <xf numFmtId="165" fontId="0" fillId="0" borderId="0" xfId="0" applyNumberFormat="1" applyFont="1" applyFill="1" applyBorder="1" applyAlignment="1">
      <alignment horizontal="center"/>
    </xf>
    <xf numFmtId="0" fontId="0" fillId="0" borderId="0" xfId="0" applyFill="1"/>
    <xf numFmtId="2" fontId="0" fillId="0" borderId="0" xfId="0" applyNumberFormat="1" applyFill="1"/>
    <xf numFmtId="1" fontId="0" fillId="0" borderId="0" xfId="0" applyNumberFormat="1" applyFill="1"/>
    <xf numFmtId="0" fontId="1" fillId="0" borderId="0" xfId="0" applyFont="1" applyBorder="1"/>
    <xf numFmtId="0" fontId="8" fillId="0" borderId="0" xfId="0" applyFont="1" applyFill="1" applyBorder="1" applyAlignment="1">
      <alignment horizontal="right"/>
    </xf>
    <xf numFmtId="1" fontId="0" fillId="0" borderId="0" xfId="0" applyNumberFormat="1" applyAlignment="1">
      <alignment horizontal="right"/>
    </xf>
    <xf numFmtId="164" fontId="0" fillId="0" borderId="0" xfId="0" applyNumberFormat="1"/>
    <xf numFmtId="166" fontId="0" fillId="0" borderId="0" xfId="0" applyNumberFormat="1"/>
    <xf numFmtId="1" fontId="0" fillId="2" borderId="0" xfId="0" applyNumberFormat="1" applyFill="1"/>
    <xf numFmtId="0" fontId="8" fillId="0" borderId="0" xfId="0" applyFont="1" applyFill="1" applyBorder="1" applyAlignment="1">
      <alignment horizontal="right" wrapText="1"/>
    </xf>
    <xf numFmtId="0" fontId="0" fillId="0" borderId="0" xfId="0" applyFont="1" applyFill="1" applyBorder="1" applyAlignment="1">
      <alignment horizontal="center"/>
    </xf>
    <xf numFmtId="6" fontId="0" fillId="0" borderId="0" xfId="0" applyNumberFormat="1"/>
    <xf numFmtId="0" fontId="8" fillId="0" borderId="0" xfId="0" applyFont="1" applyFill="1" applyBorder="1" applyAlignment="1">
      <alignment horizontal="left"/>
    </xf>
    <xf numFmtId="1" fontId="0" fillId="3" borderId="0" xfId="0" applyNumberFormat="1" applyFont="1" applyFill="1" applyBorder="1" applyAlignment="1">
      <alignment horizontal="center"/>
    </xf>
    <xf numFmtId="1" fontId="0" fillId="2" borderId="0" xfId="0" applyNumberFormat="1" applyFill="1" applyAlignment="1">
      <alignment horizontal="right"/>
    </xf>
    <xf numFmtId="1" fontId="0" fillId="0" borderId="0" xfId="0" applyNumberFormat="1" applyFill="1" applyAlignment="1">
      <alignment horizontal="right"/>
    </xf>
    <xf numFmtId="0" fontId="0" fillId="0" borderId="0" xfId="0" applyAlignment="1">
      <alignment horizontal="left"/>
    </xf>
    <xf numFmtId="0" fontId="0" fillId="0" borderId="0" xfId="0" applyAlignment="1">
      <alignment horizontal="right"/>
    </xf>
    <xf numFmtId="49" fontId="0" fillId="0" borderId="0" xfId="0" applyNumberFormat="1" applyAlignment="1">
      <alignment horizontal="right"/>
    </xf>
    <xf numFmtId="49" fontId="0" fillId="0" borderId="0" xfId="0" applyNumberFormat="1" applyFill="1" applyAlignment="1">
      <alignment horizontal="right"/>
    </xf>
    <xf numFmtId="1" fontId="1" fillId="0" borderId="0" xfId="0" applyNumberFormat="1" applyFont="1"/>
    <xf numFmtId="0" fontId="1" fillId="0" borderId="0" xfId="0" applyFont="1" applyAlignment="1">
      <alignment horizontal="left"/>
    </xf>
    <xf numFmtId="49" fontId="0" fillId="0" borderId="0" xfId="0" applyNumberFormat="1" applyFill="1" applyAlignment="1">
      <alignment horizontal="left"/>
    </xf>
    <xf numFmtId="166" fontId="0" fillId="0" borderId="0" xfId="0" applyNumberFormat="1" applyFill="1" applyAlignment="1">
      <alignment horizontal="right"/>
    </xf>
    <xf numFmtId="166" fontId="0" fillId="0" borderId="0" xfId="0" applyNumberFormat="1" applyAlignment="1">
      <alignment horizontal="right"/>
    </xf>
    <xf numFmtId="0" fontId="8" fillId="0" borderId="0" xfId="0" applyFont="1" applyFill="1" applyBorder="1" applyAlignment="1">
      <alignment horizontal="left" wrapText="1"/>
    </xf>
    <xf numFmtId="1" fontId="0" fillId="4" borderId="0" xfId="0" applyNumberFormat="1" applyFill="1"/>
    <xf numFmtId="1" fontId="8" fillId="0" borderId="0" xfId="0" applyNumberFormat="1" applyFont="1" applyFill="1" applyBorder="1"/>
    <xf numFmtId="0" fontId="0" fillId="0" borderId="0" xfId="0" applyFill="1" applyBorder="1"/>
    <xf numFmtId="1" fontId="0" fillId="0" borderId="0" xfId="0" applyNumberFormat="1" applyBorder="1"/>
    <xf numFmtId="0" fontId="0" fillId="3" borderId="0" xfId="0" applyFill="1"/>
    <xf numFmtId="0" fontId="16" fillId="0" borderId="0" xfId="0" applyFont="1" applyFill="1" applyBorder="1" applyAlignment="1">
      <alignment horizontal="left"/>
    </xf>
    <xf numFmtId="0" fontId="16" fillId="0" borderId="0" xfId="0" applyFont="1" applyFill="1" applyBorder="1"/>
    <xf numFmtId="0" fontId="17" fillId="0" borderId="0" xfId="0" applyFont="1"/>
    <xf numFmtId="1" fontId="17" fillId="0" borderId="0" xfId="0" applyNumberFormat="1" applyFont="1"/>
    <xf numFmtId="9" fontId="0" fillId="0" borderId="0" xfId="0" applyNumberFormat="1" applyAlignment="1">
      <alignment horizontal="center"/>
    </xf>
    <xf numFmtId="0" fontId="0" fillId="0" borderId="0" xfId="0" applyAlignment="1">
      <alignment horizontal="center"/>
    </xf>
    <xf numFmtId="166" fontId="0" fillId="0" borderId="0" xfId="0" applyNumberFormat="1" applyAlignment="1">
      <alignment horizontal="center"/>
    </xf>
    <xf numFmtId="49" fontId="0" fillId="0" borderId="0" xfId="0" applyNumberFormat="1" applyAlignment="1">
      <alignment horizontal="center"/>
    </xf>
    <xf numFmtId="0" fontId="0" fillId="0" borderId="0" xfId="0" applyAlignment="1">
      <alignment horizontal="center" wrapText="1"/>
    </xf>
    <xf numFmtId="1" fontId="0" fillId="0" borderId="0" xfId="0" applyNumberFormat="1" applyFont="1" applyFill="1" applyBorder="1"/>
    <xf numFmtId="0" fontId="10" fillId="0" borderId="0" xfId="0" applyFont="1" applyFill="1" applyBorder="1" applyAlignment="1">
      <alignment horizontal="right" vertical="center"/>
    </xf>
    <xf numFmtId="0" fontId="8" fillId="0" borderId="0" xfId="0" applyFont="1" applyFill="1" applyBorder="1" applyAlignment="1">
      <alignment horizontal="left" vertical="top"/>
    </xf>
    <xf numFmtId="1" fontId="0" fillId="0" borderId="0" xfId="0" applyNumberFormat="1" applyAlignment="1">
      <alignment horizontal="center"/>
    </xf>
    <xf numFmtId="1" fontId="0" fillId="0" borderId="0" xfId="0" applyNumberFormat="1" applyFill="1" applyAlignment="1">
      <alignment horizontal="center"/>
    </xf>
    <xf numFmtId="9" fontId="0" fillId="0" borderId="0" xfId="0" applyNumberFormat="1" applyFont="1"/>
    <xf numFmtId="10" fontId="0" fillId="0" borderId="0" xfId="0" applyNumberFormat="1" applyFont="1"/>
    <xf numFmtId="0" fontId="8" fillId="0" borderId="0" xfId="0" applyFont="1" applyFill="1" applyBorder="1" applyAlignment="1">
      <alignment horizontal="left" vertical="top" wrapText="1"/>
    </xf>
    <xf numFmtId="167" fontId="0" fillId="0" borderId="0" xfId="0" applyNumberFormat="1"/>
    <xf numFmtId="0" fontId="1" fillId="0" borderId="0" xfId="0" applyFont="1" applyFill="1"/>
    <xf numFmtId="0" fontId="17" fillId="0" borderId="0" xfId="0" applyFont="1" applyAlignment="1">
      <alignment horizontal="left" wrapText="1"/>
    </xf>
    <xf numFmtId="0" fontId="0" fillId="0" borderId="0" xfId="0" applyBorder="1" applyAlignment="1">
      <alignment wrapText="1"/>
    </xf>
    <xf numFmtId="0" fontId="0" fillId="0" borderId="0" xfId="0" applyBorder="1" applyAlignment="1">
      <alignment horizontal="right"/>
    </xf>
    <xf numFmtId="0" fontId="0" fillId="0" borderId="0" xfId="0" applyAlignment="1">
      <alignment vertical="top"/>
    </xf>
    <xf numFmtId="0" fontId="0" fillId="0" borderId="0" xfId="0" applyBorder="1" applyAlignment="1">
      <alignment horizontal="left"/>
    </xf>
    <xf numFmtId="0" fontId="8" fillId="0" borderId="0" xfId="0" applyFont="1" applyFill="1" applyBorder="1" applyAlignment="1">
      <alignment horizontal="center"/>
    </xf>
    <xf numFmtId="2" fontId="0" fillId="0" borderId="0" xfId="0" applyNumberFormat="1" applyFill="1" applyAlignment="1">
      <alignment horizontal="center"/>
    </xf>
    <xf numFmtId="2" fontId="0" fillId="0" borderId="0" xfId="0" applyNumberFormat="1" applyAlignment="1">
      <alignment horizontal="center"/>
    </xf>
    <xf numFmtId="0" fontId="17" fillId="0" borderId="0" xfId="0" applyFont="1" applyFill="1"/>
    <xf numFmtId="49" fontId="17" fillId="0" borderId="0" xfId="0" applyNumberFormat="1" applyFont="1" applyFill="1" applyAlignment="1">
      <alignment horizontal="left"/>
    </xf>
    <xf numFmtId="0" fontId="17" fillId="0" borderId="0" xfId="0" applyFont="1" applyAlignment="1">
      <alignment horizontal="left"/>
    </xf>
    <xf numFmtId="9" fontId="0" fillId="0" borderId="0" xfId="0" applyNumberFormat="1"/>
    <xf numFmtId="9" fontId="0" fillId="4" borderId="0" xfId="0" applyNumberFormat="1" applyFill="1"/>
    <xf numFmtId="9" fontId="0" fillId="0" borderId="0" xfId="0" applyNumberFormat="1" applyFill="1" applyAlignment="1">
      <alignment horizontal="right"/>
    </xf>
    <xf numFmtId="1" fontId="1" fillId="0" borderId="0" xfId="0" applyNumberFormat="1" applyFont="1" applyBorder="1"/>
    <xf numFmtId="1" fontId="0" fillId="0" borderId="0" xfId="0" applyNumberFormat="1" applyFont="1"/>
    <xf numFmtId="1" fontId="0" fillId="5" borderId="0" xfId="0" applyNumberFormat="1" applyFill="1"/>
    <xf numFmtId="0" fontId="0" fillId="6" borderId="0" xfId="0" applyFill="1"/>
    <xf numFmtId="0" fontId="17" fillId="0" borderId="0" xfId="0" applyFont="1" applyAlignment="1">
      <alignment horizontal="left" wrapText="1"/>
    </xf>
    <xf numFmtId="168" fontId="0" fillId="0" borderId="0" xfId="0" applyNumberFormat="1"/>
    <xf numFmtId="0" fontId="0" fillId="0" borderId="0" xfId="0" applyFont="1" applyBorder="1"/>
    <xf numFmtId="1" fontId="0" fillId="0" borderId="0" xfId="0" applyNumberFormat="1" applyFont="1" applyBorder="1"/>
    <xf numFmtId="0" fontId="8" fillId="0" borderId="0" xfId="0" applyFont="1" applyFill="1" applyBorder="1" applyAlignment="1">
      <alignment horizontal="left"/>
    </xf>
    <xf numFmtId="0" fontId="8" fillId="0" borderId="0" xfId="0" applyFont="1" applyFill="1" applyBorder="1" applyAlignment="1">
      <alignment horizontal="left"/>
    </xf>
    <xf numFmtId="0" fontId="18" fillId="0" borderId="0" xfId="0" applyFont="1"/>
    <xf numFmtId="0" fontId="0" fillId="5" borderId="0" xfId="0" applyFill="1" applyAlignment="1">
      <alignment horizontal="left"/>
    </xf>
    <xf numFmtId="0" fontId="19" fillId="0" borderId="0" xfId="0" applyFont="1" applyFill="1" applyBorder="1"/>
    <xf numFmtId="1" fontId="0" fillId="7" borderId="0" xfId="0" applyNumberFormat="1" applyFill="1"/>
    <xf numFmtId="164" fontId="0" fillId="0" borderId="0" xfId="0" applyNumberFormat="1" applyAlignment="1">
      <alignment horizontal="right"/>
    </xf>
    <xf numFmtId="164" fontId="0" fillId="0" borderId="0" xfId="0" applyNumberFormat="1" applyFill="1"/>
    <xf numFmtId="0" fontId="8" fillId="0" borderId="0" xfId="0" applyFont="1" applyFill="1" applyBorder="1" applyAlignment="1">
      <alignment horizontal="left"/>
    </xf>
    <xf numFmtId="1" fontId="0" fillId="4" borderId="0" xfId="0" applyNumberFormat="1" applyFill="1" applyBorder="1"/>
    <xf numFmtId="0" fontId="17" fillId="0" borderId="0" xfId="0" applyFont="1" applyAlignment="1">
      <alignment horizontal="left" wrapText="1"/>
    </xf>
    <xf numFmtId="0" fontId="8" fillId="0" borderId="0" xfId="0" applyFont="1" applyFill="1" applyBorder="1" applyAlignment="1">
      <alignment horizontal="left"/>
    </xf>
    <xf numFmtId="0" fontId="0" fillId="0" borderId="0" xfId="0" applyAlignment="1">
      <alignment horizontal="left" wrapText="1"/>
    </xf>
    <xf numFmtId="0" fontId="0" fillId="0" borderId="0" xfId="0" applyFont="1" applyFill="1" applyBorder="1" applyAlignment="1">
      <alignment horizontal="right" vertical="center"/>
    </xf>
    <xf numFmtId="0" fontId="0" fillId="0" borderId="0" xfId="0" applyFont="1" applyAlignment="1">
      <alignment horizontal="right"/>
    </xf>
    <xf numFmtId="1" fontId="11" fillId="0" borderId="0" xfId="0" applyNumberFormat="1" applyFont="1" applyFill="1" applyBorder="1" applyAlignment="1">
      <alignment horizontal="center"/>
    </xf>
    <xf numFmtId="1" fontId="0" fillId="0" borderId="0" xfId="0" applyNumberFormat="1" applyBorder="1" applyAlignment="1">
      <alignment horizontal="right"/>
    </xf>
    <xf numFmtId="1" fontId="1" fillId="0" borderId="0" xfId="0" applyNumberFormat="1" applyFont="1" applyFill="1" applyBorder="1" applyAlignment="1">
      <alignment horizontal="right"/>
    </xf>
    <xf numFmtId="1" fontId="0" fillId="5" borderId="0" xfId="0" applyNumberFormat="1" applyFill="1" applyAlignment="1">
      <alignment horizontal="right"/>
    </xf>
    <xf numFmtId="0" fontId="0" fillId="0" borderId="0" xfId="0" applyAlignment="1"/>
    <xf numFmtId="0" fontId="0" fillId="0" borderId="5" xfId="0" applyBorder="1" applyAlignment="1"/>
    <xf numFmtId="0" fontId="0" fillId="0" borderId="0" xfId="0" applyFont="1" applyAlignment="1">
      <alignment horizontal="left" wrapText="1"/>
    </xf>
    <xf numFmtId="0" fontId="8" fillId="0" borderId="0" xfId="0" applyFont="1" applyFill="1" applyBorder="1" applyAlignment="1">
      <alignment horizontal="left"/>
    </xf>
    <xf numFmtId="0" fontId="0" fillId="0" borderId="0" xfId="0" applyAlignment="1">
      <alignment horizontal="left" wrapText="1"/>
    </xf>
    <xf numFmtId="1" fontId="0" fillId="8" borderId="0" xfId="0" applyNumberFormat="1" applyFill="1"/>
    <xf numFmtId="0" fontId="0" fillId="0" borderId="0" xfId="0" applyAlignment="1">
      <alignment horizontal="left" wrapText="1"/>
    </xf>
    <xf numFmtId="166" fontId="0" fillId="0" borderId="0" xfId="0" applyNumberFormat="1" applyAlignment="1">
      <alignment horizontal="left" wrapText="1"/>
    </xf>
    <xf numFmtId="0" fontId="0" fillId="0" borderId="0" xfId="0" applyFont="1" applyAlignment="1">
      <alignment horizontal="left"/>
    </xf>
    <xf numFmtId="9" fontId="0" fillId="0" borderId="0" xfId="2" applyFont="1" applyAlignment="1">
      <alignment horizontal="center" wrapText="1"/>
    </xf>
    <xf numFmtId="0" fontId="0" fillId="5" borderId="0" xfId="0" applyFill="1"/>
    <xf numFmtId="1" fontId="0" fillId="0" borderId="0" xfId="0" applyNumberFormat="1" applyFont="1" applyFill="1" applyBorder="1" applyAlignment="1">
      <alignment horizontal="right"/>
    </xf>
    <xf numFmtId="0" fontId="8" fillId="0" borderId="0" xfId="0" applyFont="1" applyFill="1" applyBorder="1" applyAlignment="1">
      <alignment horizontal="left"/>
    </xf>
    <xf numFmtId="0" fontId="0" fillId="0" borderId="0" xfId="0" applyFont="1" applyFill="1"/>
    <xf numFmtId="1" fontId="0" fillId="5" borderId="0" xfId="0" applyNumberFormat="1" applyFill="1" applyBorder="1" applyAlignment="1">
      <alignment horizontal="right"/>
    </xf>
    <xf numFmtId="0" fontId="8" fillId="0" borderId="0" xfId="0" applyFont="1" applyFill="1" applyBorder="1" applyAlignment="1">
      <alignment horizontal="left"/>
    </xf>
    <xf numFmtId="0" fontId="8" fillId="0" borderId="0" xfId="0" applyFont="1" applyFill="1" applyBorder="1" applyAlignment="1">
      <alignment horizontal="left"/>
    </xf>
    <xf numFmtId="0" fontId="0" fillId="0" borderId="0" xfId="0" applyAlignment="1">
      <alignment horizontal="left" wrapText="1"/>
    </xf>
    <xf numFmtId="0" fontId="8" fillId="0" borderId="0" xfId="0" applyFont="1" applyFill="1" applyBorder="1" applyAlignment="1">
      <alignment horizontal="left" wrapText="1"/>
    </xf>
    <xf numFmtId="0" fontId="0" fillId="0" borderId="0" xfId="0" applyProtection="1">
      <protection locked="0"/>
    </xf>
    <xf numFmtId="0" fontId="0" fillId="2" borderId="0" xfId="0" applyFill="1" applyProtection="1">
      <protection locked="0"/>
    </xf>
    <xf numFmtId="0" fontId="0" fillId="2" borderId="0" xfId="0" applyFill="1" applyAlignment="1" applyProtection="1">
      <alignment horizontal="right"/>
      <protection locked="0"/>
    </xf>
    <xf numFmtId="1" fontId="0" fillId="2" borderId="0" xfId="0" applyNumberFormat="1" applyFill="1" applyProtection="1">
      <protection locked="0"/>
    </xf>
    <xf numFmtId="1" fontId="0" fillId="0" borderId="0" xfId="0" applyNumberFormat="1" applyProtection="1">
      <protection locked="0"/>
    </xf>
    <xf numFmtId="1" fontId="0" fillId="5" borderId="0" xfId="0" applyNumberFormat="1" applyFill="1" applyProtection="1">
      <protection locked="0"/>
    </xf>
    <xf numFmtId="1" fontId="0" fillId="5" borderId="19" xfId="0" applyNumberFormat="1" applyFill="1" applyBorder="1" applyProtection="1">
      <protection locked="0"/>
    </xf>
    <xf numFmtId="0" fontId="16" fillId="0" borderId="1" xfId="0" applyFont="1" applyFill="1" applyBorder="1" applyAlignment="1" applyProtection="1">
      <alignment horizontal="left" wrapText="1"/>
      <protection locked="0"/>
    </xf>
    <xf numFmtId="0" fontId="17" fillId="0" borderId="2" xfId="0" applyFont="1" applyBorder="1" applyAlignment="1" applyProtection="1">
      <alignment horizontal="left" wrapText="1"/>
      <protection locked="0"/>
    </xf>
    <xf numFmtId="0" fontId="8" fillId="0" borderId="2" xfId="0" applyFont="1" applyFill="1" applyBorder="1" applyAlignment="1" applyProtection="1">
      <alignment horizontal="left" vertical="top"/>
      <protection locked="0"/>
    </xf>
    <xf numFmtId="0" fontId="8" fillId="0" borderId="3" xfId="0" applyFont="1" applyFill="1" applyBorder="1" applyAlignment="1" applyProtection="1">
      <alignment horizontal="left" vertical="top" wrapText="1"/>
      <protection locked="0"/>
    </xf>
    <xf numFmtId="0" fontId="0" fillId="0" borderId="6" xfId="0" applyBorder="1" applyProtection="1">
      <protection locked="0"/>
    </xf>
    <xf numFmtId="0" fontId="0" fillId="0" borderId="7" xfId="0"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8" fillId="0" borderId="10" xfId="0" applyFont="1" applyFill="1" applyBorder="1" applyAlignment="1" applyProtection="1">
      <alignment horizontal="left" vertical="top"/>
      <protection locked="0"/>
    </xf>
    <xf numFmtId="0" fontId="0" fillId="0" borderId="11" xfId="0" applyBorder="1" applyAlignment="1" applyProtection="1">
      <alignment wrapText="1"/>
      <protection locked="0"/>
    </xf>
    <xf numFmtId="0" fontId="0" fillId="0" borderId="11" xfId="0" applyBorder="1" applyProtection="1">
      <protection locked="0"/>
    </xf>
    <xf numFmtId="0" fontId="0" fillId="0" borderId="15" xfId="0" applyBorder="1" applyProtection="1">
      <protection locked="0"/>
    </xf>
    <xf numFmtId="0" fontId="8" fillId="0" borderId="4" xfId="0" applyFont="1" applyFill="1" applyBorder="1" applyAlignment="1" applyProtection="1">
      <alignment horizontal="left" vertical="top"/>
      <protection locked="0"/>
    </xf>
    <xf numFmtId="0" fontId="0" fillId="0" borderId="0" xfId="0" applyBorder="1" applyAlignment="1" applyProtection="1">
      <alignment wrapText="1"/>
      <protection locked="0"/>
    </xf>
    <xf numFmtId="0" fontId="0" fillId="0" borderId="0" xfId="0" applyBorder="1" applyProtection="1">
      <protection locked="0"/>
    </xf>
    <xf numFmtId="0" fontId="0" fillId="0" borderId="5" xfId="0" applyBorder="1" applyProtection="1">
      <protection locked="0"/>
    </xf>
    <xf numFmtId="0" fontId="8" fillId="0" borderId="13" xfId="0" applyFont="1" applyFill="1" applyBorder="1" applyAlignment="1" applyProtection="1">
      <alignment horizontal="left"/>
      <protection locked="0"/>
    </xf>
    <xf numFmtId="0" fontId="0" fillId="0" borderId="12" xfId="0" applyBorder="1" applyAlignment="1" applyProtection="1">
      <alignment wrapText="1"/>
      <protection locked="0"/>
    </xf>
    <xf numFmtId="0" fontId="0" fillId="0" borderId="12" xfId="0" applyBorder="1" applyProtection="1">
      <protection locked="0"/>
    </xf>
    <xf numFmtId="0" fontId="0" fillId="0" borderId="14" xfId="0" applyBorder="1" applyProtection="1">
      <protection locked="0"/>
    </xf>
    <xf numFmtId="0" fontId="8" fillId="0" borderId="13" xfId="0" applyFont="1" applyFill="1" applyBorder="1" applyAlignment="1" applyProtection="1">
      <alignment horizontal="left" vertical="top"/>
      <protection locked="0"/>
    </xf>
    <xf numFmtId="0" fontId="0" fillId="0" borderId="9" xfId="0" applyBorder="1" applyProtection="1">
      <protection locked="0"/>
    </xf>
    <xf numFmtId="0" fontId="8" fillId="0" borderId="0"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protection locked="0"/>
    </xf>
    <xf numFmtId="0" fontId="8" fillId="0" borderId="6" xfId="0" applyFont="1" applyFill="1" applyBorder="1" applyAlignment="1" applyProtection="1">
      <alignment horizontal="left"/>
      <protection locked="0"/>
    </xf>
    <xf numFmtId="0" fontId="0" fillId="0" borderId="7" xfId="0" applyBorder="1" applyAlignment="1" applyProtection="1">
      <alignment wrapText="1"/>
      <protection locked="0"/>
    </xf>
    <xf numFmtId="0" fontId="0" fillId="0" borderId="8" xfId="0" applyBorder="1" applyProtection="1">
      <protection locked="0"/>
    </xf>
    <xf numFmtId="0" fontId="0" fillId="0" borderId="7" xfId="0" applyBorder="1" applyAlignment="1" applyProtection="1">
      <alignment horizontal="left"/>
      <protection locked="0"/>
    </xf>
    <xf numFmtId="0" fontId="8" fillId="0" borderId="1" xfId="0" applyFont="1" applyFill="1" applyBorder="1" applyAlignment="1" applyProtection="1">
      <alignment horizontal="left"/>
      <protection locked="0"/>
    </xf>
    <xf numFmtId="0" fontId="0" fillId="0" borderId="0" xfId="0" applyBorder="1" applyAlignment="1" applyProtection="1">
      <alignment horizontal="left" wrapText="1"/>
      <protection locked="0"/>
    </xf>
    <xf numFmtId="169" fontId="0" fillId="0" borderId="0" xfId="0" applyNumberFormat="1" applyBorder="1" applyProtection="1">
      <protection locked="0"/>
    </xf>
    <xf numFmtId="0" fontId="0" fillId="0" borderId="3" xfId="0" applyBorder="1" applyProtection="1">
      <protection locked="0"/>
    </xf>
    <xf numFmtId="0" fontId="8" fillId="0" borderId="16" xfId="0" applyFont="1" applyFill="1" applyBorder="1" applyAlignment="1" applyProtection="1">
      <alignment horizontal="left"/>
      <protection locked="0"/>
    </xf>
    <xf numFmtId="0" fontId="0" fillId="0" borderId="17" xfId="0" applyBorder="1" applyAlignment="1" applyProtection="1">
      <alignment horizontal="left" wrapText="1"/>
      <protection locked="0"/>
    </xf>
    <xf numFmtId="165" fontId="0" fillId="0" borderId="17" xfId="0" applyNumberFormat="1" applyBorder="1" applyProtection="1">
      <protection locked="0"/>
    </xf>
    <xf numFmtId="0" fontId="0" fillId="0" borderId="17" xfId="0" applyBorder="1" applyProtection="1">
      <protection locked="0"/>
    </xf>
    <xf numFmtId="0" fontId="0" fillId="0" borderId="18" xfId="0" applyBorder="1" applyAlignment="1" applyProtection="1">
      <alignment wrapText="1"/>
      <protection locked="0"/>
    </xf>
    <xf numFmtId="0" fontId="0" fillId="0" borderId="0" xfId="0" applyFont="1" applyAlignment="1">
      <alignment horizontal="left" wrapText="1"/>
    </xf>
    <xf numFmtId="0" fontId="17" fillId="0" borderId="0" xfId="0" applyFont="1" applyAlignment="1">
      <alignment horizontal="left" wrapText="1"/>
    </xf>
    <xf numFmtId="0" fontId="17" fillId="0" borderId="0" xfId="0" applyNumberFormat="1" applyFont="1" applyAlignment="1">
      <alignment horizontal="left" wrapText="1"/>
    </xf>
    <xf numFmtId="0" fontId="0" fillId="0" borderId="0" xfId="0" applyAlignment="1">
      <alignment horizontal="left" wrapText="1"/>
    </xf>
    <xf numFmtId="1" fontId="0" fillId="0" borderId="7" xfId="0" applyNumberFormat="1" applyBorder="1" applyAlignment="1">
      <alignment horizontal="center"/>
    </xf>
    <xf numFmtId="0" fontId="8" fillId="0" borderId="0" xfId="0" applyFont="1" applyFill="1" applyBorder="1" applyAlignment="1">
      <alignment horizontal="left"/>
    </xf>
    <xf numFmtId="0" fontId="0" fillId="0" borderId="4" xfId="0" applyBorder="1" applyAlignment="1">
      <alignment horizontal="left" wrapText="1"/>
    </xf>
    <xf numFmtId="0" fontId="0" fillId="0" borderId="0" xfId="0" applyBorder="1" applyAlignment="1">
      <alignment horizontal="left" wrapText="1"/>
    </xf>
    <xf numFmtId="0" fontId="0" fillId="0" borderId="0" xfId="0" applyFill="1" applyAlignment="1">
      <alignment horizontal="left" wrapText="1"/>
    </xf>
    <xf numFmtId="0" fontId="0" fillId="0" borderId="0" xfId="0" applyBorder="1" applyAlignment="1" applyProtection="1">
      <alignment horizontal="center"/>
      <protection locked="0"/>
    </xf>
    <xf numFmtId="0" fontId="17" fillId="0" borderId="0" xfId="0" applyFont="1" applyFill="1" applyAlignment="1">
      <alignment horizontal="left" wrapText="1"/>
    </xf>
    <xf numFmtId="0" fontId="8" fillId="0" borderId="0" xfId="0" applyFont="1" applyFill="1" applyBorder="1" applyAlignment="1">
      <alignment horizontal="left" wrapText="1"/>
    </xf>
    <xf numFmtId="0" fontId="0" fillId="0" borderId="0" xfId="0" applyFont="1" applyFill="1" applyBorder="1" applyAlignment="1">
      <alignment horizontal="left" wrapText="1"/>
    </xf>
    <xf numFmtId="1" fontId="0" fillId="0" borderId="0" xfId="0" applyNumberFormat="1" applyFont="1" applyFill="1" applyBorder="1" applyAlignment="1">
      <alignment horizontal="left" wrapText="1"/>
    </xf>
    <xf numFmtId="0" fontId="1" fillId="0" borderId="0" xfId="0" applyFont="1" applyAlignment="1">
      <alignment horizontal="left" wrapText="1"/>
    </xf>
    <xf numFmtId="0" fontId="21" fillId="0" borderId="0" xfId="0" applyFont="1" applyFill="1" applyBorder="1" applyAlignment="1">
      <alignment horizontal="left"/>
    </xf>
    <xf numFmtId="0" fontId="0" fillId="0" borderId="0" xfId="0" applyFill="1" applyAlignment="1" applyProtection="1">
      <alignment horizontal="right"/>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title>
      <c:layout/>
    </c:title>
    <c:plotArea>
      <c:layout/>
      <c:barChart>
        <c:barDir val="bar"/>
        <c:grouping val="clustered"/>
        <c:ser>
          <c:idx val="0"/>
          <c:order val="0"/>
          <c:tx>
            <c:v>Capital cost ($ per kilowatt)</c:v>
          </c:tx>
          <c:cat>
            <c:strLit>
              <c:ptCount val="8"/>
              <c:pt idx="0">
                <c:v>Rooftop solar</c:v>
              </c:pt>
              <c:pt idx="1">
                <c:v>Gas</c:v>
              </c:pt>
              <c:pt idx="2">
                <c:v>Large-scale solar </c:v>
              </c:pt>
              <c:pt idx="3">
                <c:v>Wind</c:v>
              </c:pt>
              <c:pt idx="4">
                <c:v>Ocean</c:v>
              </c:pt>
              <c:pt idx="5">
                <c:v>Coal</c:v>
              </c:pt>
              <c:pt idx="6">
                <c:v>Hydro</c:v>
              </c:pt>
              <c:pt idx="7">
                <c:v>Geothermal</c:v>
              </c:pt>
            </c:strLit>
          </c:cat>
          <c:val>
            <c:numLit>
              <c:formatCode>General</c:formatCode>
              <c:ptCount val="8"/>
              <c:pt idx="0">
                <c:v>1075</c:v>
              </c:pt>
              <c:pt idx="1">
                <c:v>1181</c:v>
              </c:pt>
              <c:pt idx="2">
                <c:v>1342</c:v>
              </c:pt>
              <c:pt idx="3">
                <c:v>2693</c:v>
              </c:pt>
              <c:pt idx="4">
                <c:v>2738</c:v>
              </c:pt>
              <c:pt idx="5">
                <c:v>3351</c:v>
              </c:pt>
              <c:pt idx="6">
                <c:v>5114</c:v>
              </c:pt>
              <c:pt idx="7">
                <c:v>5457</c:v>
              </c:pt>
            </c:numLit>
          </c:val>
        </c:ser>
        <c:axId val="62644608"/>
        <c:axId val="62646144"/>
      </c:barChart>
      <c:catAx>
        <c:axId val="62644608"/>
        <c:scaling>
          <c:orientation val="minMax"/>
        </c:scaling>
        <c:axPos val="l"/>
        <c:numFmt formatCode="General" sourceLinked="0"/>
        <c:tickLblPos val="nextTo"/>
        <c:crossAx val="62646144"/>
        <c:crosses val="autoZero"/>
        <c:auto val="1"/>
        <c:lblAlgn val="ctr"/>
        <c:lblOffset val="100"/>
      </c:catAx>
      <c:valAx>
        <c:axId val="62646144"/>
        <c:scaling>
          <c:orientation val="minMax"/>
        </c:scaling>
        <c:axPos val="b"/>
        <c:majorGridlines/>
        <c:numFmt formatCode="General" sourceLinked="1"/>
        <c:tickLblPos val="nextTo"/>
        <c:crossAx val="62644608"/>
        <c:crosses val="autoZero"/>
        <c:crossBetween val="between"/>
      </c:valAx>
    </c:plotArea>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sz="1400"/>
            </a:pPr>
            <a:r>
              <a:rPr lang="en-AU" sz="1400"/>
              <a:t>Average</a:t>
            </a:r>
            <a:r>
              <a:rPr lang="en-AU" sz="1400" baseline="0"/>
              <a:t> Minutes off Supply per year</a:t>
            </a:r>
            <a:endParaRPr lang="en-AU" sz="1400"/>
          </a:p>
        </c:rich>
      </c:tx>
      <c:layout/>
    </c:title>
    <c:plotArea>
      <c:layout/>
      <c:lineChart>
        <c:grouping val="standard"/>
        <c:ser>
          <c:idx val="0"/>
          <c:order val="0"/>
          <c:tx>
            <c:strRef>
              <c:f>Reliability!$B$8</c:f>
              <c:strCache>
                <c:ptCount val="1"/>
                <c:pt idx="0">
                  <c:v>Short Rural</c:v>
                </c:pt>
              </c:strCache>
            </c:strRef>
          </c:tx>
          <c:marker>
            <c:symbol val="none"/>
          </c:marker>
          <c:cat>
            <c:strRef>
              <c:f>Reliability!$D$7:$G$7</c:f>
              <c:strCache>
                <c:ptCount val="4"/>
                <c:pt idx="0">
                  <c:v>2011-12</c:v>
                </c:pt>
                <c:pt idx="1">
                  <c:v>2012-13</c:v>
                </c:pt>
                <c:pt idx="2">
                  <c:v>2013-14</c:v>
                </c:pt>
                <c:pt idx="3">
                  <c:v>2014-15</c:v>
                </c:pt>
              </c:strCache>
            </c:strRef>
          </c:cat>
          <c:val>
            <c:numRef>
              <c:f>Reliability!$D$8:$G$8</c:f>
              <c:numCache>
                <c:formatCode>General</c:formatCode>
                <c:ptCount val="4"/>
                <c:pt idx="0">
                  <c:v>393</c:v>
                </c:pt>
                <c:pt idx="1">
                  <c:v>341</c:v>
                </c:pt>
                <c:pt idx="2">
                  <c:v>292</c:v>
                </c:pt>
                <c:pt idx="3">
                  <c:v>357</c:v>
                </c:pt>
              </c:numCache>
            </c:numRef>
          </c:val>
        </c:ser>
        <c:ser>
          <c:idx val="1"/>
          <c:order val="1"/>
          <c:tx>
            <c:strRef>
              <c:f>Reliability!$B$9</c:f>
              <c:strCache>
                <c:ptCount val="1"/>
                <c:pt idx="0">
                  <c:v>Long Rural</c:v>
                </c:pt>
              </c:strCache>
            </c:strRef>
          </c:tx>
          <c:marker>
            <c:symbol val="none"/>
          </c:marker>
          <c:cat>
            <c:strRef>
              <c:f>Reliability!$D$7:$G$7</c:f>
              <c:strCache>
                <c:ptCount val="4"/>
                <c:pt idx="0">
                  <c:v>2011-12</c:v>
                </c:pt>
                <c:pt idx="1">
                  <c:v>2012-13</c:v>
                </c:pt>
                <c:pt idx="2">
                  <c:v>2013-14</c:v>
                </c:pt>
                <c:pt idx="3">
                  <c:v>2014-15</c:v>
                </c:pt>
              </c:strCache>
            </c:strRef>
          </c:cat>
          <c:val>
            <c:numRef>
              <c:f>Reliability!$D$9:$G$9</c:f>
              <c:numCache>
                <c:formatCode>General</c:formatCode>
                <c:ptCount val="4"/>
                <c:pt idx="0">
                  <c:v>1042</c:v>
                </c:pt>
                <c:pt idx="1">
                  <c:v>952</c:v>
                </c:pt>
                <c:pt idx="2">
                  <c:v>796</c:v>
                </c:pt>
                <c:pt idx="3">
                  <c:v>1051</c:v>
                </c:pt>
              </c:numCache>
            </c:numRef>
          </c:val>
        </c:ser>
        <c:marker val="1"/>
        <c:axId val="111885696"/>
        <c:axId val="111891584"/>
      </c:lineChart>
      <c:catAx>
        <c:axId val="111885696"/>
        <c:scaling>
          <c:orientation val="minMax"/>
        </c:scaling>
        <c:axPos val="b"/>
        <c:majorTickMark val="none"/>
        <c:tickLblPos val="nextTo"/>
        <c:crossAx val="111891584"/>
        <c:crosses val="autoZero"/>
        <c:auto val="1"/>
        <c:lblAlgn val="ctr"/>
        <c:lblOffset val="100"/>
      </c:catAx>
      <c:valAx>
        <c:axId val="111891584"/>
        <c:scaling>
          <c:orientation val="minMax"/>
        </c:scaling>
        <c:axPos val="l"/>
        <c:majorGridlines/>
        <c:title>
          <c:tx>
            <c:strRef>
              <c:f>Reliability!$B$7</c:f>
              <c:strCache>
                <c:ptCount val="1"/>
                <c:pt idx="0">
                  <c:v>SAIDI</c:v>
                </c:pt>
              </c:strCache>
            </c:strRef>
          </c:tx>
          <c:layout/>
        </c:title>
        <c:numFmt formatCode="General" sourceLinked="1"/>
        <c:majorTickMark val="none"/>
        <c:tickLblPos val="nextTo"/>
        <c:crossAx val="111885696"/>
        <c:crosses val="autoZero"/>
        <c:crossBetween val="between"/>
      </c:valAx>
    </c:plotArea>
    <c:legend>
      <c:legendPos val="r"/>
      <c:layout/>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sz="1400"/>
            </a:pPr>
            <a:r>
              <a:rPr lang="en-US" sz="1400"/>
              <a:t>Average Number of Interruptions per year</a:t>
            </a:r>
          </a:p>
        </c:rich>
      </c:tx>
      <c:layout/>
    </c:title>
    <c:plotArea>
      <c:layout/>
      <c:lineChart>
        <c:grouping val="standard"/>
        <c:ser>
          <c:idx val="0"/>
          <c:order val="0"/>
          <c:tx>
            <c:strRef>
              <c:f>Reliability!$B$13</c:f>
              <c:strCache>
                <c:ptCount val="1"/>
                <c:pt idx="0">
                  <c:v>Short Rural</c:v>
                </c:pt>
              </c:strCache>
            </c:strRef>
          </c:tx>
          <c:marker>
            <c:symbol val="none"/>
          </c:marker>
          <c:cat>
            <c:strRef>
              <c:f>Reliability!$D$12:$G$12</c:f>
              <c:strCache>
                <c:ptCount val="4"/>
                <c:pt idx="0">
                  <c:v>2011-12</c:v>
                </c:pt>
                <c:pt idx="1">
                  <c:v>2012-13</c:v>
                </c:pt>
                <c:pt idx="2">
                  <c:v>2013-14</c:v>
                </c:pt>
                <c:pt idx="3">
                  <c:v>2014-15</c:v>
                </c:pt>
              </c:strCache>
            </c:strRef>
          </c:cat>
          <c:val>
            <c:numRef>
              <c:f>Reliability!$D$13:$G$13</c:f>
              <c:numCache>
                <c:formatCode>General</c:formatCode>
                <c:ptCount val="4"/>
                <c:pt idx="0">
                  <c:v>3.6</c:v>
                </c:pt>
                <c:pt idx="1">
                  <c:v>3</c:v>
                </c:pt>
                <c:pt idx="2">
                  <c:v>2.8</c:v>
                </c:pt>
                <c:pt idx="3">
                  <c:v>3.2</c:v>
                </c:pt>
              </c:numCache>
            </c:numRef>
          </c:val>
        </c:ser>
        <c:ser>
          <c:idx val="1"/>
          <c:order val="1"/>
          <c:tx>
            <c:strRef>
              <c:f>Reliability!$B$14</c:f>
              <c:strCache>
                <c:ptCount val="1"/>
                <c:pt idx="0">
                  <c:v>Long Rural</c:v>
                </c:pt>
              </c:strCache>
            </c:strRef>
          </c:tx>
          <c:marker>
            <c:symbol val="none"/>
          </c:marker>
          <c:cat>
            <c:strRef>
              <c:f>Reliability!$D$12:$G$12</c:f>
              <c:strCache>
                <c:ptCount val="4"/>
                <c:pt idx="0">
                  <c:v>2011-12</c:v>
                </c:pt>
                <c:pt idx="1">
                  <c:v>2012-13</c:v>
                </c:pt>
                <c:pt idx="2">
                  <c:v>2013-14</c:v>
                </c:pt>
                <c:pt idx="3">
                  <c:v>2014-15</c:v>
                </c:pt>
              </c:strCache>
            </c:strRef>
          </c:cat>
          <c:val>
            <c:numRef>
              <c:f>Reliability!$D$14:$G$14</c:f>
              <c:numCache>
                <c:formatCode>General</c:formatCode>
                <c:ptCount val="4"/>
                <c:pt idx="0">
                  <c:v>7</c:v>
                </c:pt>
                <c:pt idx="1">
                  <c:v>6.2</c:v>
                </c:pt>
                <c:pt idx="2">
                  <c:v>6.1</c:v>
                </c:pt>
                <c:pt idx="3">
                  <c:v>6.8</c:v>
                </c:pt>
              </c:numCache>
            </c:numRef>
          </c:val>
        </c:ser>
        <c:marker val="1"/>
        <c:axId val="111916928"/>
        <c:axId val="111918464"/>
      </c:lineChart>
      <c:catAx>
        <c:axId val="111916928"/>
        <c:scaling>
          <c:orientation val="minMax"/>
        </c:scaling>
        <c:axPos val="b"/>
        <c:majorTickMark val="none"/>
        <c:tickLblPos val="nextTo"/>
        <c:crossAx val="111918464"/>
        <c:crosses val="autoZero"/>
        <c:auto val="1"/>
        <c:lblAlgn val="ctr"/>
        <c:lblOffset val="100"/>
      </c:catAx>
      <c:valAx>
        <c:axId val="111918464"/>
        <c:scaling>
          <c:orientation val="minMax"/>
        </c:scaling>
        <c:axPos val="l"/>
        <c:majorGridlines/>
        <c:title>
          <c:tx>
            <c:strRef>
              <c:f>Reliability!$B$12</c:f>
              <c:strCache>
                <c:ptCount val="1"/>
                <c:pt idx="0">
                  <c:v>SAIFI</c:v>
                </c:pt>
              </c:strCache>
            </c:strRef>
          </c:tx>
          <c:layout/>
        </c:title>
        <c:numFmt formatCode="General" sourceLinked="1"/>
        <c:majorTickMark val="none"/>
        <c:tickLblPos val="nextTo"/>
        <c:crossAx val="111916928"/>
        <c:crosses val="autoZero"/>
        <c:crossBetween val="between"/>
      </c:valAx>
    </c:plotArea>
    <c:legend>
      <c:legendPos val="r"/>
      <c:layout/>
    </c:legend>
    <c:plotVisOnly val="1"/>
    <c:dispBlanksAs val="gap"/>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30480</xdr:colOff>
      <xdr:row>42</xdr:row>
      <xdr:rowOff>83820</xdr:rowOff>
    </xdr:from>
    <xdr:to>
      <xdr:col>6</xdr:col>
      <xdr:colOff>929640</xdr:colOff>
      <xdr:row>55</xdr:row>
      <xdr:rowOff>49530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53</xdr:row>
      <xdr:rowOff>0</xdr:rowOff>
    </xdr:from>
    <xdr:to>
      <xdr:col>12</xdr:col>
      <xdr:colOff>594360</xdr:colOff>
      <xdr:row>65</xdr:row>
      <xdr:rowOff>0</xdr:rowOff>
    </xdr:to>
    <xdr:pic>
      <xdr:nvPicPr>
        <xdr:cNvPr id="3" name="Picture 2" descr="http://www.solarchoice.net.au/blog/wp-content/uploads/Dollar-per-watt-average-commercial-solar-system-prices-August-2016.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1060" y="10850880"/>
          <a:ext cx="4991100" cy="21640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167640</xdr:colOff>
      <xdr:row>6</xdr:row>
      <xdr:rowOff>80010</xdr:rowOff>
    </xdr:from>
    <xdr:to>
      <xdr:col>15</xdr:col>
      <xdr:colOff>472440</xdr:colOff>
      <xdr:row>22</xdr:row>
      <xdr:rowOff>80010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601980</xdr:colOff>
      <xdr:row>6</xdr:row>
      <xdr:rowOff>64770</xdr:rowOff>
    </xdr:from>
    <xdr:to>
      <xdr:col>23</xdr:col>
      <xdr:colOff>297180</xdr:colOff>
      <xdr:row>22</xdr:row>
      <xdr:rowOff>64770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S49"/>
  <sheetViews>
    <sheetView tabSelected="1" workbookViewId="0">
      <selection activeCell="M45" sqref="M45"/>
    </sheetView>
  </sheetViews>
  <sheetFormatPr defaultRowHeight="14.4"/>
  <sheetData>
    <row r="1" spans="1:19" ht="18">
      <c r="A1" s="70" t="s">
        <v>1</v>
      </c>
    </row>
    <row r="3" spans="1:19" ht="15.6">
      <c r="B3" s="209" t="s">
        <v>346</v>
      </c>
      <c r="C3" s="1"/>
      <c r="D3" s="1"/>
      <c r="E3" s="1"/>
      <c r="F3" s="1"/>
      <c r="G3" s="1"/>
      <c r="H3" s="1"/>
      <c r="I3" s="1"/>
    </row>
    <row r="4" spans="1:19">
      <c r="B4" s="2" t="s">
        <v>231</v>
      </c>
      <c r="C4" s="2"/>
      <c r="D4" s="2"/>
      <c r="E4" s="2"/>
      <c r="F4" s="2"/>
      <c r="G4" s="2"/>
      <c r="H4" s="2"/>
      <c r="I4" s="2"/>
      <c r="J4" s="2"/>
      <c r="K4" s="2"/>
      <c r="L4" s="2"/>
    </row>
    <row r="5" spans="1:19">
      <c r="B5" s="2" t="s">
        <v>347</v>
      </c>
      <c r="C5" s="1"/>
      <c r="D5" s="1"/>
      <c r="E5" s="1"/>
      <c r="F5" s="1"/>
      <c r="G5" s="1"/>
      <c r="H5" s="1"/>
      <c r="I5" s="1"/>
    </row>
    <row r="6" spans="1:19">
      <c r="B6" s="2" t="s">
        <v>348</v>
      </c>
      <c r="C6" s="1"/>
      <c r="D6" s="1"/>
      <c r="E6" s="1"/>
      <c r="F6" s="1"/>
      <c r="G6" s="1"/>
      <c r="H6" s="1"/>
      <c r="I6" s="1"/>
    </row>
    <row r="7" spans="1:19">
      <c r="B7" s="51"/>
      <c r="C7" s="1"/>
      <c r="D7" s="1"/>
      <c r="E7" s="1"/>
      <c r="F7" s="1"/>
      <c r="G7" s="1"/>
      <c r="H7" s="1"/>
      <c r="I7" s="1"/>
    </row>
    <row r="8" spans="1:19">
      <c r="B8" s="2" t="s">
        <v>232</v>
      </c>
      <c r="C8" s="1"/>
      <c r="D8" s="1"/>
      <c r="E8" s="1"/>
      <c r="F8" s="1"/>
      <c r="G8" s="1"/>
      <c r="H8" s="1"/>
      <c r="I8" s="1"/>
    </row>
    <row r="9" spans="1:19">
      <c r="B9" s="2"/>
      <c r="C9" s="1"/>
      <c r="D9" s="1"/>
      <c r="E9" s="1"/>
      <c r="F9" s="1"/>
      <c r="G9" s="1"/>
      <c r="H9" s="1"/>
      <c r="I9" s="1"/>
    </row>
    <row r="10" spans="1:19">
      <c r="B10" s="119" t="s">
        <v>384</v>
      </c>
      <c r="C10" s="1"/>
      <c r="D10" s="1"/>
      <c r="E10" s="1"/>
      <c r="F10" s="1"/>
      <c r="G10" s="1"/>
      <c r="H10" s="1"/>
      <c r="I10" s="1"/>
    </row>
    <row r="11" spans="1:19">
      <c r="B11" s="2" t="s">
        <v>383</v>
      </c>
      <c r="E11" s="1"/>
      <c r="F11" s="1"/>
      <c r="G11" s="1"/>
      <c r="H11" s="1"/>
      <c r="I11" s="1"/>
    </row>
    <row r="12" spans="1:19">
      <c r="B12" s="2" t="s">
        <v>385</v>
      </c>
      <c r="E12" s="1"/>
      <c r="F12" s="1"/>
      <c r="G12" s="1"/>
      <c r="H12" s="1"/>
      <c r="I12" s="1"/>
    </row>
    <row r="13" spans="1:19" ht="30" customHeight="1">
      <c r="B13" s="194" t="s">
        <v>410</v>
      </c>
      <c r="C13" s="194"/>
      <c r="D13" s="194"/>
      <c r="E13" s="194"/>
      <c r="F13" s="194"/>
      <c r="G13" s="194"/>
      <c r="H13" s="194"/>
      <c r="I13" s="194"/>
      <c r="J13" s="194"/>
      <c r="K13" s="194"/>
      <c r="L13" s="194"/>
      <c r="M13" s="194"/>
      <c r="N13" s="194"/>
      <c r="O13" s="194"/>
      <c r="P13" s="194"/>
      <c r="Q13" s="194"/>
      <c r="R13" s="194"/>
    </row>
    <row r="14" spans="1:19" ht="30" customHeight="1">
      <c r="B14" s="194" t="s">
        <v>411</v>
      </c>
      <c r="C14" s="194"/>
      <c r="D14" s="194"/>
      <c r="E14" s="194"/>
      <c r="F14" s="194"/>
      <c r="G14" s="194"/>
      <c r="H14" s="194"/>
      <c r="I14" s="194"/>
      <c r="J14" s="194"/>
      <c r="K14" s="194"/>
      <c r="L14" s="194"/>
      <c r="M14" s="194"/>
      <c r="N14" s="194"/>
      <c r="O14" s="194"/>
      <c r="P14" s="194"/>
      <c r="Q14" s="194"/>
      <c r="R14" s="194"/>
      <c r="S14" s="194"/>
    </row>
    <row r="15" spans="1:19">
      <c r="B15" s="2"/>
      <c r="E15" s="1"/>
      <c r="F15" s="1"/>
      <c r="G15" s="1"/>
      <c r="H15" s="1"/>
      <c r="I15" s="1"/>
    </row>
    <row r="16" spans="1:19">
      <c r="B16" s="112" t="s">
        <v>381</v>
      </c>
      <c r="C16" s="1"/>
      <c r="D16" s="1"/>
      <c r="E16" s="1"/>
      <c r="F16" s="1"/>
      <c r="G16" s="1"/>
      <c r="H16" s="1"/>
      <c r="I16" s="1"/>
    </row>
    <row r="17" spans="2:15">
      <c r="B17" s="2" t="s">
        <v>345</v>
      </c>
      <c r="C17" s="1"/>
      <c r="D17" s="1"/>
      <c r="E17" s="1"/>
      <c r="F17" s="1"/>
      <c r="G17" s="1"/>
      <c r="H17" s="1"/>
      <c r="I17" s="1"/>
    </row>
    <row r="18" spans="2:15">
      <c r="B18" s="2" t="s">
        <v>333</v>
      </c>
      <c r="C18" s="1"/>
      <c r="D18" s="1"/>
      <c r="E18" s="1"/>
      <c r="F18" s="1"/>
      <c r="G18" s="1"/>
      <c r="H18" s="1"/>
      <c r="I18" s="1"/>
    </row>
    <row r="19" spans="2:15">
      <c r="B19" t="s">
        <v>344</v>
      </c>
    </row>
    <row r="20" spans="2:15">
      <c r="B20" t="s">
        <v>334</v>
      </c>
    </row>
    <row r="21" spans="2:15">
      <c r="B21" s="2" t="s">
        <v>335</v>
      </c>
    </row>
    <row r="22" spans="2:15">
      <c r="B22" s="2" t="s">
        <v>336</v>
      </c>
    </row>
    <row r="23" spans="2:15">
      <c r="B23" s="2"/>
    </row>
    <row r="24" spans="2:15">
      <c r="B24" t="s">
        <v>552</v>
      </c>
    </row>
    <row r="25" spans="2:15">
      <c r="B25" t="s">
        <v>558</v>
      </c>
    </row>
    <row r="26" spans="2:15">
      <c r="B26" t="s">
        <v>555</v>
      </c>
    </row>
    <row r="27" spans="2:15">
      <c r="B27" t="s">
        <v>553</v>
      </c>
    </row>
    <row r="28" spans="2:15" ht="73.8" customHeight="1">
      <c r="B28" s="2"/>
      <c r="C28" s="195" t="s">
        <v>551</v>
      </c>
      <c r="D28" s="195"/>
      <c r="E28" s="195"/>
      <c r="F28" s="195"/>
      <c r="G28" s="195"/>
      <c r="H28" s="195"/>
      <c r="I28" s="195"/>
      <c r="J28" s="195"/>
      <c r="K28" s="195"/>
      <c r="L28" s="195"/>
      <c r="M28" s="195"/>
      <c r="N28" s="195"/>
      <c r="O28" s="195"/>
    </row>
    <row r="29" spans="2:15">
      <c r="B29" t="s">
        <v>554</v>
      </c>
    </row>
    <row r="30" spans="2:15" ht="28.8" customHeight="1">
      <c r="B30" s="2"/>
      <c r="C30" s="196" t="s">
        <v>556</v>
      </c>
      <c r="D30" s="196"/>
      <c r="E30" s="196"/>
      <c r="F30" s="196"/>
      <c r="G30" s="196"/>
      <c r="H30" s="196"/>
      <c r="I30" s="196"/>
      <c r="J30" s="196"/>
      <c r="K30" s="196"/>
      <c r="L30" s="196"/>
      <c r="M30" s="196"/>
      <c r="N30" s="196"/>
      <c r="O30" s="196"/>
    </row>
    <row r="31" spans="2:15">
      <c r="B31" s="2"/>
    </row>
    <row r="32" spans="2:15">
      <c r="B32" s="112" t="s">
        <v>337</v>
      </c>
    </row>
    <row r="33" spans="2:2">
      <c r="B33" s="2" t="s">
        <v>338</v>
      </c>
    </row>
    <row r="34" spans="2:2">
      <c r="B34" s="2" t="s">
        <v>339</v>
      </c>
    </row>
    <row r="35" spans="2:2">
      <c r="B35" s="2" t="s">
        <v>340</v>
      </c>
    </row>
    <row r="36" spans="2:2">
      <c r="B36" s="113" t="s">
        <v>343</v>
      </c>
    </row>
    <row r="37" spans="2:2">
      <c r="B37" s="2" t="s">
        <v>342</v>
      </c>
    </row>
    <row r="38" spans="2:2">
      <c r="B38" s="2" t="s">
        <v>341</v>
      </c>
    </row>
    <row r="39" spans="2:2">
      <c r="B39" s="2"/>
    </row>
    <row r="40" spans="2:2">
      <c r="B40" s="119" t="s">
        <v>382</v>
      </c>
    </row>
    <row r="41" spans="2:2">
      <c r="B41" t="s">
        <v>562</v>
      </c>
    </row>
    <row r="42" spans="2:2">
      <c r="B42" s="2" t="s">
        <v>386</v>
      </c>
    </row>
    <row r="43" spans="2:2">
      <c r="B43" s="2" t="s">
        <v>561</v>
      </c>
    </row>
    <row r="44" spans="2:2">
      <c r="B44" s="2"/>
    </row>
    <row r="45" spans="2:2">
      <c r="B45" s="146" t="s">
        <v>544</v>
      </c>
    </row>
    <row r="46" spans="2:2">
      <c r="B46" t="s">
        <v>564</v>
      </c>
    </row>
    <row r="47" spans="2:2">
      <c r="B47" t="s">
        <v>565</v>
      </c>
    </row>
    <row r="49" spans="2:17">
      <c r="B49" s="69"/>
      <c r="C49" s="69"/>
      <c r="D49" s="69"/>
      <c r="E49" s="69"/>
      <c r="F49" s="69"/>
      <c r="G49" s="69"/>
      <c r="H49" s="69"/>
      <c r="I49" s="69"/>
      <c r="J49" s="69"/>
      <c r="K49" s="69"/>
      <c r="L49" s="69"/>
      <c r="M49" s="69"/>
      <c r="N49" s="69"/>
      <c r="O49" s="69"/>
      <c r="P49" s="69"/>
      <c r="Q49" s="69"/>
    </row>
  </sheetData>
  <sheetProtection password="CA47" sheet="1" objects="1" scenarios="1"/>
  <mergeCells count="4">
    <mergeCell ref="B13:R13"/>
    <mergeCell ref="B14:S14"/>
    <mergeCell ref="C28:O28"/>
    <mergeCell ref="C30:O30"/>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codeName="Sheet2"/>
  <dimension ref="A1:T357"/>
  <sheetViews>
    <sheetView workbookViewId="0">
      <selection activeCell="D1" sqref="D1"/>
    </sheetView>
  </sheetViews>
  <sheetFormatPr defaultRowHeight="14.4"/>
  <cols>
    <col min="4" max="4" width="15.33203125" customWidth="1"/>
    <col min="5" max="5" width="8.88671875" customWidth="1"/>
    <col min="6" max="6" width="12.77734375" customWidth="1"/>
  </cols>
  <sheetData>
    <row r="1" spans="1:17" ht="18">
      <c r="A1" s="70" t="s">
        <v>151</v>
      </c>
      <c r="D1" t="s">
        <v>320</v>
      </c>
    </row>
    <row r="2" spans="1:17" ht="14.4" customHeight="1">
      <c r="A2" s="70"/>
    </row>
    <row r="3" spans="1:17">
      <c r="B3" s="199" t="s">
        <v>170</v>
      </c>
      <c r="C3" s="199"/>
    </row>
    <row r="4" spans="1:17">
      <c r="B4" t="s">
        <v>171</v>
      </c>
    </row>
    <row r="5" spans="1:17">
      <c r="B5" t="s">
        <v>560</v>
      </c>
      <c r="F5" s="210" t="str">
        <f>Tariffs!B4</f>
        <v>2016-17 tariffs</v>
      </c>
      <c r="G5" t="s">
        <v>566</v>
      </c>
    </row>
    <row r="6" spans="1:17">
      <c r="B6" t="s">
        <v>167</v>
      </c>
      <c r="F6" s="150">
        <v>40</v>
      </c>
      <c r="H6" t="s">
        <v>320</v>
      </c>
    </row>
    <row r="7" spans="1:17">
      <c r="B7" t="s">
        <v>152</v>
      </c>
      <c r="F7" s="151" t="s">
        <v>153</v>
      </c>
    </row>
    <row r="8" spans="1:17">
      <c r="B8" t="s">
        <v>157</v>
      </c>
      <c r="F8" s="152">
        <v>40</v>
      </c>
    </row>
    <row r="9" spans="1:17">
      <c r="B9" t="str">
        <f>'Water and power req'!B11</f>
        <v>Pump hourly usage -  existing AC system (kWh)</v>
      </c>
      <c r="F9" s="153">
        <f>0.9*F8</f>
        <v>36</v>
      </c>
    </row>
    <row r="10" spans="1:17">
      <c r="B10" t="str">
        <f>'Water and power req'!B13</f>
        <v xml:space="preserve">Pumping delivery rate (L/sec) </v>
      </c>
      <c r="F10" s="152">
        <v>25</v>
      </c>
    </row>
    <row r="11" spans="1:17">
      <c r="B11" t="s">
        <v>158</v>
      </c>
      <c r="F11" s="152">
        <v>56</v>
      </c>
      <c r="G11" t="str">
        <f>CONCATENATE("Without batteries, this number needs to be at least ", ROUNDUP('Cost of Supply'!G16,0), " kWh in order to supply the power rating of the pump")</f>
        <v>Without batteries, this number needs to be at least 56 kWh in order to supply the power rating of the pump</v>
      </c>
    </row>
    <row r="12" spans="1:17">
      <c r="B12" t="s">
        <v>415</v>
      </c>
      <c r="F12" s="152">
        <v>0</v>
      </c>
      <c r="G12" t="s">
        <v>417</v>
      </c>
    </row>
    <row r="13" spans="1:17" ht="28.95" customHeight="1">
      <c r="B13" t="s">
        <v>416</v>
      </c>
      <c r="F13" s="152">
        <v>0</v>
      </c>
      <c r="G13" s="197" t="s">
        <v>484</v>
      </c>
      <c r="H13" s="197"/>
      <c r="I13" s="197"/>
      <c r="J13" s="197"/>
      <c r="K13" s="197"/>
      <c r="L13" s="197"/>
      <c r="M13" s="197"/>
      <c r="N13" s="197"/>
      <c r="O13" s="197"/>
      <c r="P13" s="197"/>
      <c r="Q13" s="197"/>
    </row>
    <row r="14" spans="1:17">
      <c r="B14" s="72" t="s">
        <v>64</v>
      </c>
      <c r="C14" s="72"/>
      <c r="D14" s="72"/>
      <c r="F14" s="72"/>
    </row>
    <row r="16" spans="1:17">
      <c r="B16" s="51" t="s">
        <v>291</v>
      </c>
      <c r="F16" s="43" t="str">
        <f>F5</f>
        <v>2016-17 tariffs</v>
      </c>
      <c r="H16" s="146" t="s">
        <v>549</v>
      </c>
    </row>
    <row r="17" spans="2:11">
      <c r="B17" t="s">
        <v>275</v>
      </c>
      <c r="F17" s="7">
        <f>'Cost of Supply'!Q103</f>
        <v>21560.564750000009</v>
      </c>
      <c r="H17" s="7">
        <f>'Cost of Supply'!Q112</f>
        <v>21560.564750000009</v>
      </c>
    </row>
    <row r="18" spans="2:11">
      <c r="B18" t="s">
        <v>159</v>
      </c>
      <c r="F18" s="7">
        <f>'Cost of Supply'!Q99</f>
        <v>19395.785250000004</v>
      </c>
      <c r="H18" s="7">
        <f>'Cost of Supply'!Q108</f>
        <v>22517.600849999999</v>
      </c>
    </row>
    <row r="19" spans="2:11">
      <c r="B19" t="s">
        <v>379</v>
      </c>
      <c r="F19" s="7">
        <f>'Cost of Supply'!Q104</f>
        <v>13775.375600000001</v>
      </c>
      <c r="H19" s="7">
        <f>'Cost of Supply'!Q113</f>
        <v>22934.207599999998</v>
      </c>
    </row>
    <row r="20" spans="2:11">
      <c r="B20" t="s">
        <v>286</v>
      </c>
      <c r="F20" s="7">
        <f>'Cost of Supply'!Q105</f>
        <v>16680.266350000005</v>
      </c>
      <c r="H20" s="7">
        <f>'Cost of Supply'!Q114</f>
        <v>16680.266350000005</v>
      </c>
    </row>
    <row r="21" spans="2:11">
      <c r="B21" t="s">
        <v>160</v>
      </c>
      <c r="F21" s="7">
        <f>'Cost of Supply'!Q100</f>
        <v>12984.945600000001</v>
      </c>
      <c r="H21" s="7">
        <f>'Cost of Supply'!Q109</f>
        <v>16713.270480000003</v>
      </c>
      <c r="K21" s="149"/>
    </row>
    <row r="22" spans="2:11">
      <c r="B22" t="s">
        <v>161</v>
      </c>
      <c r="F22" s="7">
        <f>'Cost of Supply'!Q101</f>
        <v>16273.334680000007</v>
      </c>
      <c r="H22" s="7">
        <f>'Cost of Supply'!Q110</f>
        <v>18340.079560000002</v>
      </c>
    </row>
    <row r="23" spans="2:11">
      <c r="B23" t="s">
        <v>162</v>
      </c>
      <c r="F23" s="7">
        <f>'Cost of Supply'!Q102</f>
        <v>18382.081374999998</v>
      </c>
      <c r="H23" s="7">
        <f>'Cost of Supply'!Q111</f>
        <v>18382.081374999998</v>
      </c>
    </row>
    <row r="25" spans="2:11">
      <c r="B25" s="51" t="s">
        <v>314</v>
      </c>
    </row>
    <row r="26" spans="2:11">
      <c r="B26" s="145"/>
      <c r="F26" s="43" t="str">
        <f>F16</f>
        <v>2016-17 tariffs</v>
      </c>
    </row>
    <row r="27" spans="2:11">
      <c r="B27" t="s">
        <v>313</v>
      </c>
      <c r="F27" s="41">
        <f>'Cost of Supply'!Q133</f>
        <v>16856.613691310431</v>
      </c>
    </row>
    <row r="28" spans="2:11">
      <c r="B28" t="s">
        <v>163</v>
      </c>
      <c r="F28" s="41">
        <f>'Cost of Supply'!Q129</f>
        <v>15911.386161310431</v>
      </c>
    </row>
    <row r="29" spans="2:11">
      <c r="B29" t="s">
        <v>392</v>
      </c>
      <c r="F29" s="41">
        <f>'Cost of Supply'!Q134</f>
        <v>13496.13298331043</v>
      </c>
    </row>
    <row r="30" spans="2:11">
      <c r="B30" t="s">
        <v>393</v>
      </c>
      <c r="F30" s="41">
        <f>'Cost of Supply'!Q135</f>
        <v>14725.684235310429</v>
      </c>
    </row>
    <row r="31" spans="2:11">
      <c r="B31" t="s">
        <v>164</v>
      </c>
      <c r="F31" s="41">
        <f>'Cost of Supply'!Q130</f>
        <v>13002.697065310429</v>
      </c>
    </row>
    <row r="32" spans="2:11">
      <c r="B32" t="s">
        <v>165</v>
      </c>
      <c r="F32" s="41">
        <f>'Cost of Supply'!Q131</f>
        <v>14349.069937310429</v>
      </c>
    </row>
    <row r="33" spans="2:7">
      <c r="B33" t="s">
        <v>166</v>
      </c>
      <c r="F33" s="41">
        <f>'Cost of Supply'!Q132</f>
        <v>17093.333450310427</v>
      </c>
    </row>
    <row r="34" spans="2:7">
      <c r="F34" s="41"/>
    </row>
    <row r="35" spans="2:7">
      <c r="B35" s="122" t="s">
        <v>452</v>
      </c>
    </row>
    <row r="36" spans="2:7">
      <c r="B36" s="145"/>
      <c r="F36" s="43" t="str">
        <f>F16</f>
        <v>2016-17 tariffs</v>
      </c>
    </row>
    <row r="37" spans="2:7">
      <c r="B37" t="s">
        <v>453</v>
      </c>
      <c r="F37" s="41">
        <f>'Cost of Supply'!Q156</f>
        <v>16856.613691310431</v>
      </c>
    </row>
    <row r="38" spans="2:7">
      <c r="B38" t="s">
        <v>454</v>
      </c>
      <c r="F38" s="41">
        <f>'Cost of Supply'!Q152</f>
        <v>15911.386161310431</v>
      </c>
    </row>
    <row r="39" spans="2:7">
      <c r="B39" t="s">
        <v>455</v>
      </c>
      <c r="F39" s="41">
        <f>'Cost of Supply'!Q157</f>
        <v>13496.13298331043</v>
      </c>
    </row>
    <row r="40" spans="2:7">
      <c r="B40" t="s">
        <v>456</v>
      </c>
      <c r="F40" s="41">
        <f>'Cost of Supply'!Q158</f>
        <v>14725.684235310429</v>
      </c>
    </row>
    <row r="41" spans="2:7">
      <c r="B41" t="s">
        <v>457</v>
      </c>
      <c r="F41" s="41">
        <f>'Cost of Supply'!Q153</f>
        <v>13002.697065310429</v>
      </c>
    </row>
    <row r="42" spans="2:7">
      <c r="B42" t="s">
        <v>458</v>
      </c>
      <c r="F42" s="41">
        <f>'Cost of Supply'!Q154</f>
        <v>14349.069937310429</v>
      </c>
    </row>
    <row r="43" spans="2:7">
      <c r="B43" t="s">
        <v>459</v>
      </c>
      <c r="F43" s="41">
        <f>'Cost of Supply'!Q155</f>
        <v>17093.333450310427</v>
      </c>
    </row>
    <row r="44" spans="2:7">
      <c r="F44" s="41"/>
    </row>
    <row r="45" spans="2:7">
      <c r="B45" s="51" t="s">
        <v>154</v>
      </c>
    </row>
    <row r="46" spans="2:7">
      <c r="B46" t="s">
        <v>461</v>
      </c>
      <c r="F46" s="7">
        <f>ROUNDUP(MAX('Cost of Supply'!G24:O24),0)</f>
        <v>121</v>
      </c>
      <c r="G46" t="s">
        <v>483</v>
      </c>
    </row>
    <row r="47" spans="2:7">
      <c r="B47" t="s">
        <v>464</v>
      </c>
      <c r="F47" s="41">
        <f>(F46*'Capital &amp; operating cost solar'!D8/'Capital &amp; operating cost solar'!D7)+(F46*1000/200*'Capital &amp; operating cost solar'!D18)+IF('Capital &amp; operating cost solar'!D11&gt;0,'Capital &amp; operating cost solar'!D17,0)</f>
        <v>12589.001746512276</v>
      </c>
    </row>
    <row r="48" spans="2:7">
      <c r="F48" s="41"/>
    </row>
    <row r="49" spans="2:20">
      <c r="B49" s="122" t="s">
        <v>460</v>
      </c>
      <c r="F49" s="41"/>
    </row>
    <row r="50" spans="2:20">
      <c r="B50" t="str">
        <f>B46</f>
        <v>When solar panel capacity is equal to:</v>
      </c>
      <c r="F50" s="41">
        <f>ROUNDUP(MAX('Cost of Supply'!G94:O94),0)</f>
        <v>85</v>
      </c>
      <c r="L50" s="7"/>
    </row>
    <row r="51" spans="2:20">
      <c r="B51" t="s">
        <v>462</v>
      </c>
      <c r="F51" s="41">
        <f>'Cost of Supply'!G95</f>
        <v>50</v>
      </c>
    </row>
    <row r="52" spans="2:20">
      <c r="B52" t="s">
        <v>463</v>
      </c>
      <c r="F52" s="41">
        <f>F13</f>
        <v>0</v>
      </c>
      <c r="Q52" s="39"/>
      <c r="R52" s="39"/>
      <c r="S52" s="39"/>
      <c r="T52" s="39"/>
    </row>
    <row r="53" spans="2:20">
      <c r="B53" t="str">
        <f>B47</f>
        <v>Annual cost ($) excluding GST</v>
      </c>
      <c r="F53" s="41">
        <f>(F50*'Capital &amp; operating cost solar'!D8/'Capital &amp; operating cost solar'!D7)+(F50*1000/200*'Capital &amp; operating cost solar'!D18)+IF('Capital &amp; operating cost solar'!D11&gt;0,'Capital &amp; operating cost solar'!D17,0)+IFERROR(HLOOKUP(F52,'Capital &amp; operating cost solar'!E72:G75,3,FALSE)*1.2/'Capital &amp; operating cost solar'!D89/0.95/0.85,0)</f>
        <v>8932.769821930111</v>
      </c>
      <c r="I53" s="7"/>
    </row>
    <row r="54" spans="2:20">
      <c r="G54" s="39"/>
      <c r="H54" s="39"/>
      <c r="I54" s="39"/>
      <c r="J54" s="39"/>
      <c r="K54" s="39"/>
      <c r="L54" s="39"/>
    </row>
    <row r="55" spans="2:20">
      <c r="B55" s="51" t="s">
        <v>543</v>
      </c>
      <c r="E55" s="39"/>
      <c r="F55" s="43" t="str">
        <f>F16</f>
        <v>2016-17 tariffs</v>
      </c>
      <c r="G55" s="39"/>
      <c r="H55" s="39"/>
      <c r="I55" s="39"/>
      <c r="J55" s="39"/>
      <c r="K55" s="39"/>
    </row>
    <row r="56" spans="2:20" ht="15" thickBot="1">
      <c r="B56" t="s">
        <v>277</v>
      </c>
      <c r="E56" s="39"/>
      <c r="F56" s="154">
        <f>IF(F69&lt;0,0,ROUND(F11,0))</f>
        <v>0</v>
      </c>
      <c r="G56" s="39" t="s">
        <v>557</v>
      </c>
      <c r="J56" s="39"/>
      <c r="K56" s="39"/>
    </row>
    <row r="57" spans="2:20" ht="15" thickBot="1">
      <c r="B57" t="s">
        <v>293</v>
      </c>
      <c r="E57" s="39"/>
      <c r="F57" s="155">
        <f>MIN(C128:C148)</f>
        <v>12984.945600000001</v>
      </c>
      <c r="G57" s="39" t="s">
        <v>518</v>
      </c>
      <c r="H57" s="39"/>
      <c r="I57" s="39"/>
    </row>
    <row r="58" spans="2:20">
      <c r="B58" t="s">
        <v>535</v>
      </c>
      <c r="E58" s="39"/>
      <c r="F58" s="144" t="str">
        <f>IF(F13&gt;0,'Capital &amp; operating cost solar'!D93,"NA")</f>
        <v>NA</v>
      </c>
      <c r="G58" s="39"/>
      <c r="H58" s="39"/>
      <c r="I58" s="39"/>
    </row>
    <row r="59" spans="2:20">
      <c r="B59" t="s">
        <v>292</v>
      </c>
      <c r="E59" s="39"/>
      <c r="F59" s="114" t="str">
        <f>VLOOKUP(F57,C128:D148,2,FALSE)</f>
        <v>Grid supply - tariff 62</v>
      </c>
      <c r="G59" s="140"/>
      <c r="H59" s="39"/>
      <c r="I59" s="39"/>
      <c r="J59" s="39"/>
      <c r="K59" s="39"/>
      <c r="L59" s="39"/>
    </row>
    <row r="60" spans="2:20">
      <c r="B60" t="s">
        <v>294</v>
      </c>
      <c r="E60" s="39"/>
      <c r="F60" s="105">
        <f>'Cost of Supply'!Q127</f>
        <v>15.6887910119585</v>
      </c>
      <c r="G60" s="39" t="s">
        <v>307</v>
      </c>
      <c r="H60" s="39"/>
      <c r="I60" s="39"/>
      <c r="J60" s="39"/>
      <c r="K60" s="39"/>
    </row>
    <row r="61" spans="2:20">
      <c r="B61" t="s">
        <v>474</v>
      </c>
      <c r="E61" s="39"/>
      <c r="F61" s="129" t="str">
        <f>IFERROR('Cost of Supply'!Q150, "NA")</f>
        <v>NA</v>
      </c>
      <c r="G61" s="39" t="s">
        <v>307</v>
      </c>
      <c r="H61" s="39"/>
      <c r="I61" s="39"/>
      <c r="J61" s="39"/>
      <c r="K61" s="39"/>
    </row>
    <row r="62" spans="2:20">
      <c r="B62" s="72" t="s">
        <v>550</v>
      </c>
      <c r="C62" s="72"/>
      <c r="D62" s="72"/>
      <c r="E62" s="73"/>
      <c r="F62" s="72"/>
      <c r="G62" s="72"/>
      <c r="H62" s="72"/>
      <c r="I62" s="72"/>
    </row>
    <row r="63" spans="2:20">
      <c r="B63" s="72" t="s">
        <v>559</v>
      </c>
      <c r="C63" s="72"/>
      <c r="D63" s="72"/>
      <c r="E63" s="73"/>
      <c r="F63" s="72"/>
      <c r="G63" s="72"/>
      <c r="H63" s="72"/>
      <c r="I63" s="72"/>
    </row>
    <row r="64" spans="2:20">
      <c r="B64" s="72" t="s">
        <v>558</v>
      </c>
      <c r="C64" s="72"/>
      <c r="D64" s="72"/>
      <c r="E64" s="73"/>
      <c r="F64" s="72"/>
      <c r="G64" s="72"/>
      <c r="H64" s="72"/>
      <c r="I64" s="72"/>
    </row>
    <row r="65" spans="2:14">
      <c r="B65" s="72" t="s">
        <v>556</v>
      </c>
      <c r="C65" s="72"/>
      <c r="D65" s="72"/>
      <c r="E65" s="73"/>
      <c r="F65" s="72"/>
      <c r="G65" s="72"/>
      <c r="H65" s="72"/>
      <c r="I65" s="72"/>
    </row>
    <row r="66" spans="2:14" ht="60" customHeight="1">
      <c r="B66" s="195" t="s">
        <v>551</v>
      </c>
      <c r="C66" s="195"/>
      <c r="D66" s="195"/>
      <c r="E66" s="195"/>
      <c r="F66" s="195"/>
      <c r="G66" s="195"/>
      <c r="H66" s="195"/>
      <c r="I66" s="195"/>
      <c r="J66" s="195"/>
      <c r="K66" s="195"/>
      <c r="L66" s="195"/>
      <c r="M66" s="195"/>
      <c r="N66" s="195"/>
    </row>
    <row r="67" spans="2:14" ht="14.4" customHeight="1">
      <c r="B67" s="89"/>
      <c r="C67" s="89"/>
      <c r="D67" s="89"/>
      <c r="E67" s="89"/>
      <c r="F67" s="89"/>
      <c r="G67" s="89"/>
      <c r="H67" s="89"/>
      <c r="I67" s="89"/>
      <c r="J67" s="89"/>
      <c r="K67" s="89"/>
      <c r="L67" s="89"/>
      <c r="M67" s="89"/>
      <c r="N67" s="89"/>
    </row>
    <row r="68" spans="2:14" ht="14.4" customHeight="1">
      <c r="B68" s="51" t="s">
        <v>276</v>
      </c>
      <c r="C68" s="89"/>
      <c r="D68" s="89"/>
      <c r="E68" s="89"/>
      <c r="F68" s="89"/>
      <c r="G68" s="89"/>
      <c r="H68" s="89"/>
      <c r="I68" s="89"/>
      <c r="J68" s="89"/>
      <c r="K68" s="89"/>
      <c r="L68" s="89"/>
      <c r="M68" s="89"/>
      <c r="N68" s="89"/>
    </row>
    <row r="69" spans="2:14" ht="27" customHeight="1">
      <c r="B69" s="197" t="s">
        <v>318</v>
      </c>
      <c r="C69" s="197"/>
      <c r="D69" s="197"/>
      <c r="E69" s="197"/>
      <c r="F69" s="41">
        <f>-(MIN(F27:F33)-MIN(F17:F23))</f>
        <v>-17.751465310428102</v>
      </c>
      <c r="G69" s="89"/>
      <c r="H69" s="89"/>
      <c r="I69" s="89"/>
      <c r="J69" s="89"/>
      <c r="K69" s="89"/>
      <c r="L69" s="89"/>
      <c r="M69" s="89"/>
      <c r="N69" s="89"/>
    </row>
    <row r="70" spans="2:14" ht="15" customHeight="1">
      <c r="B70" s="123"/>
      <c r="C70" s="123"/>
      <c r="D70" s="123"/>
      <c r="E70" s="123"/>
      <c r="F70" s="41"/>
      <c r="G70" s="121"/>
      <c r="H70" s="121"/>
      <c r="I70" s="121"/>
      <c r="J70" s="121"/>
      <c r="K70" s="121"/>
      <c r="L70" s="121"/>
      <c r="M70" s="121"/>
      <c r="N70" s="121"/>
    </row>
    <row r="71" spans="2:14" ht="13.95" customHeight="1">
      <c r="B71" s="122" t="s">
        <v>465</v>
      </c>
      <c r="C71" s="123"/>
      <c r="D71" s="123"/>
      <c r="E71" s="123"/>
      <c r="F71" s="41"/>
      <c r="G71" s="121"/>
      <c r="H71" s="121"/>
      <c r="I71" s="121"/>
      <c r="J71" s="121"/>
      <c r="K71" s="121"/>
      <c r="L71" s="121"/>
      <c r="M71" s="121"/>
      <c r="N71" s="121"/>
    </row>
    <row r="72" spans="2:14" ht="30.6" customHeight="1">
      <c r="B72" s="197" t="s">
        <v>318</v>
      </c>
      <c r="C72" s="197"/>
      <c r="D72" s="197"/>
      <c r="E72" s="197"/>
      <c r="F72" s="41">
        <f>-(MIN(F37:F43)-MIN(F17:F23))</f>
        <v>-17.751465310428102</v>
      </c>
      <c r="G72" s="121"/>
      <c r="H72" s="121"/>
      <c r="I72" s="121"/>
      <c r="J72" s="121"/>
      <c r="K72" s="121"/>
      <c r="L72" s="121"/>
      <c r="M72" s="121"/>
      <c r="N72" s="121"/>
    </row>
    <row r="73" spans="2:14">
      <c r="B73" s="89"/>
      <c r="C73" s="89"/>
      <c r="D73" s="89"/>
      <c r="E73" s="89"/>
      <c r="F73" s="89"/>
      <c r="G73" s="89"/>
      <c r="H73" s="89"/>
      <c r="I73" s="89"/>
      <c r="J73" s="89"/>
      <c r="K73" s="89"/>
      <c r="L73" s="89"/>
      <c r="M73" s="89"/>
      <c r="N73" s="89"/>
    </row>
    <row r="74" spans="2:14">
      <c r="B74" s="51" t="s">
        <v>11</v>
      </c>
    </row>
    <row r="75" spans="2:14">
      <c r="B75" t="s">
        <v>242</v>
      </c>
    </row>
    <row r="76" spans="2:14">
      <c r="B76" t="s">
        <v>450</v>
      </c>
    </row>
    <row r="77" spans="2:14">
      <c r="B77" t="s">
        <v>451</v>
      </c>
    </row>
    <row r="79" spans="2:14">
      <c r="B79" s="51" t="s">
        <v>14</v>
      </c>
    </row>
    <row r="80" spans="2:14">
      <c r="B80" t="s">
        <v>176</v>
      </c>
    </row>
    <row r="81" spans="2:10">
      <c r="B81" t="s">
        <v>396</v>
      </c>
    </row>
    <row r="82" spans="2:10">
      <c r="B82" t="s">
        <v>243</v>
      </c>
    </row>
    <row r="84" spans="2:10">
      <c r="B84" s="51" t="s">
        <v>168</v>
      </c>
    </row>
    <row r="85" spans="2:10">
      <c r="B85" t="s">
        <v>169</v>
      </c>
    </row>
    <row r="86" spans="2:10">
      <c r="B86" t="s">
        <v>395</v>
      </c>
    </row>
    <row r="88" spans="2:10">
      <c r="B88" s="51" t="s">
        <v>0</v>
      </c>
    </row>
    <row r="89" spans="2:10">
      <c r="B89" t="s">
        <v>209</v>
      </c>
    </row>
    <row r="90" spans="2:10">
      <c r="B90" t="s">
        <v>181</v>
      </c>
      <c r="C90" s="39"/>
      <c r="F90" s="56" t="s">
        <v>196</v>
      </c>
    </row>
    <row r="91" spans="2:10">
      <c r="B91" t="s">
        <v>204</v>
      </c>
      <c r="C91" s="39"/>
      <c r="F91" s="56" t="s">
        <v>198</v>
      </c>
    </row>
    <row r="92" spans="2:10">
      <c r="B92" t="s">
        <v>203</v>
      </c>
      <c r="C92" s="39"/>
      <c r="F92" s="56" t="s">
        <v>198</v>
      </c>
    </row>
    <row r="93" spans="2:10">
      <c r="B93" t="s">
        <v>202</v>
      </c>
      <c r="C93" s="39"/>
      <c r="F93" s="56" t="s">
        <v>198</v>
      </c>
    </row>
    <row r="94" spans="2:10">
      <c r="B94" t="s">
        <v>244</v>
      </c>
      <c r="C94" s="39"/>
      <c r="F94" s="56" t="s">
        <v>198</v>
      </c>
    </row>
    <row r="95" spans="2:10">
      <c r="B95" t="s">
        <v>201</v>
      </c>
      <c r="C95" s="39"/>
      <c r="F95" s="56" t="s">
        <v>198</v>
      </c>
    </row>
    <row r="96" spans="2:10" ht="30" customHeight="1">
      <c r="B96" s="197" t="s">
        <v>506</v>
      </c>
      <c r="C96" s="197"/>
      <c r="D96" s="197"/>
      <c r="E96" s="197"/>
      <c r="F96" s="197" t="s">
        <v>504</v>
      </c>
      <c r="G96" s="197"/>
      <c r="H96" s="197"/>
      <c r="I96" s="197"/>
      <c r="J96" s="136"/>
    </row>
    <row r="97" spans="2:17" ht="30" customHeight="1">
      <c r="B97" s="134"/>
      <c r="C97" s="134"/>
      <c r="D97" s="134"/>
      <c r="E97" s="134"/>
      <c r="F97" s="197"/>
      <c r="G97" s="197"/>
      <c r="H97" s="197"/>
    </row>
    <row r="98" spans="2:17">
      <c r="D98" s="39"/>
    </row>
    <row r="99" spans="2:17">
      <c r="B99" s="146" t="s">
        <v>394</v>
      </c>
      <c r="D99" s="39"/>
    </row>
    <row r="100" spans="2:17">
      <c r="B100" t="s">
        <v>3</v>
      </c>
      <c r="F100" s="7">
        <f>'Cost of Supply'!G165</f>
        <v>21060.957054229315</v>
      </c>
    </row>
    <row r="101" spans="2:17">
      <c r="B101" t="s">
        <v>110</v>
      </c>
      <c r="F101" s="7">
        <f>'Cost of Supply'!G166</f>
        <v>23411.587745058194</v>
      </c>
    </row>
    <row r="102" spans="2:17">
      <c r="B102" t="s">
        <v>322</v>
      </c>
      <c r="F102" s="7">
        <f>'Cost of Supply'!G167</f>
        <v>14958.0225898551</v>
      </c>
    </row>
    <row r="103" spans="2:17">
      <c r="B103" t="s">
        <v>279</v>
      </c>
      <c r="F103" s="7">
        <f>'Cost of Supply'!G168</f>
        <v>20274.968000089699</v>
      </c>
      <c r="K103" s="7"/>
    </row>
    <row r="104" spans="2:17" ht="28.8" customHeight="1">
      <c r="B104" s="197" t="s">
        <v>547</v>
      </c>
      <c r="C104" s="197"/>
      <c r="D104" s="197"/>
      <c r="F104" s="7">
        <f>MIN('Cost of Supply'!G171:G174,'Cost of Supply'!G178:G181)</f>
        <v>14038.43244117032</v>
      </c>
    </row>
    <row r="105" spans="2:17" ht="10.8" customHeight="1">
      <c r="B105" s="147"/>
      <c r="C105" s="147"/>
      <c r="D105" s="147"/>
      <c r="F105" s="7"/>
    </row>
    <row r="106" spans="2:17" ht="14.4" customHeight="1" thickBot="1">
      <c r="F106" s="198" t="s">
        <v>290</v>
      </c>
      <c r="G106" s="198"/>
    </row>
    <row r="107" spans="2:17" ht="28.8" customHeight="1">
      <c r="B107" s="197" t="s">
        <v>548</v>
      </c>
      <c r="C107" s="197"/>
      <c r="D107" s="197"/>
      <c r="F107" s="7">
        <f>MAX(F100:F103)-F104</f>
        <v>9373.1553038878737</v>
      </c>
      <c r="G107" s="7">
        <f>MIN(F100:F103)-F104</f>
        <v>919.59014868477971</v>
      </c>
    </row>
    <row r="109" spans="2:17">
      <c r="B109" s="69"/>
      <c r="C109" s="69"/>
      <c r="D109" s="69"/>
      <c r="E109" s="69"/>
      <c r="F109" s="69"/>
      <c r="G109" s="69"/>
      <c r="H109" s="69"/>
      <c r="I109" s="69"/>
      <c r="J109" s="69"/>
      <c r="K109" s="69"/>
      <c r="L109" s="69"/>
      <c r="M109" s="69"/>
      <c r="N109" s="69"/>
      <c r="O109" s="69"/>
      <c r="P109" s="69"/>
      <c r="Q109" s="69"/>
    </row>
    <row r="127" spans="2:4">
      <c r="B127" s="1" t="s">
        <v>466</v>
      </c>
      <c r="C127" s="1"/>
      <c r="D127" s="1"/>
    </row>
    <row r="128" spans="2:4">
      <c r="C128" s="7">
        <f>'Cost of Supply'!Q99</f>
        <v>19395.785250000004</v>
      </c>
      <c r="D128" t="s">
        <v>234</v>
      </c>
    </row>
    <row r="129" spans="3:4">
      <c r="C129" s="7">
        <f>'Cost of Supply'!Q100</f>
        <v>12984.945600000001</v>
      </c>
      <c r="D129" t="s">
        <v>236</v>
      </c>
    </row>
    <row r="130" spans="3:4">
      <c r="C130" s="7">
        <f>'Cost of Supply'!Q101</f>
        <v>16273.334680000007</v>
      </c>
      <c r="D130" t="s">
        <v>237</v>
      </c>
    </row>
    <row r="131" spans="3:4">
      <c r="C131" s="7">
        <f>'Cost of Supply'!Q102</f>
        <v>18382.081374999998</v>
      </c>
      <c r="D131" t="s">
        <v>238</v>
      </c>
    </row>
    <row r="132" spans="3:4">
      <c r="C132" s="7">
        <f>'Cost of Supply'!Q103</f>
        <v>21560.564750000009</v>
      </c>
      <c r="D132" t="s">
        <v>315</v>
      </c>
    </row>
    <row r="133" spans="3:4">
      <c r="C133" s="7">
        <f>'Cost of Supply'!Q104</f>
        <v>13775.375600000001</v>
      </c>
      <c r="D133" t="s">
        <v>397</v>
      </c>
    </row>
    <row r="134" spans="3:4">
      <c r="C134" s="7">
        <f>'Cost of Supply'!Q105</f>
        <v>16680.266350000005</v>
      </c>
      <c r="D134" t="s">
        <v>398</v>
      </c>
    </row>
    <row r="135" spans="3:4">
      <c r="C135" s="7">
        <f>'Cost of Supply'!Q129</f>
        <v>15911.386161310431</v>
      </c>
      <c r="D135" t="s">
        <v>235</v>
      </c>
    </row>
    <row r="136" spans="3:4">
      <c r="C136" s="7">
        <f>'Cost of Supply'!Q130</f>
        <v>13002.697065310429</v>
      </c>
      <c r="D136" t="s">
        <v>241</v>
      </c>
    </row>
    <row r="137" spans="3:4">
      <c r="C137" s="7">
        <f>'Cost of Supply'!Q131</f>
        <v>14349.069937310429</v>
      </c>
      <c r="D137" t="s">
        <v>240</v>
      </c>
    </row>
    <row r="138" spans="3:4">
      <c r="C138" s="7">
        <f>'Cost of Supply'!Q132</f>
        <v>17093.333450310427</v>
      </c>
      <c r="D138" t="s">
        <v>239</v>
      </c>
    </row>
    <row r="139" spans="3:4">
      <c r="C139" s="7">
        <f>'Cost of Supply'!Q133</f>
        <v>16856.613691310431</v>
      </c>
      <c r="D139" t="s">
        <v>316</v>
      </c>
    </row>
    <row r="140" spans="3:4">
      <c r="C140" s="7">
        <f>'Cost of Supply'!Q134</f>
        <v>13496.13298331043</v>
      </c>
      <c r="D140" t="s">
        <v>399</v>
      </c>
    </row>
    <row r="141" spans="3:4">
      <c r="C141" s="7">
        <f>'Cost of Supply'!Q135</f>
        <v>14725.684235310429</v>
      </c>
      <c r="D141" t="s">
        <v>400</v>
      </c>
    </row>
    <row r="142" spans="3:4">
      <c r="C142" s="7">
        <f>'Cost of Supply'!Q152</f>
        <v>15911.386161310431</v>
      </c>
      <c r="D142" t="s">
        <v>467</v>
      </c>
    </row>
    <row r="143" spans="3:4">
      <c r="C143" s="7">
        <f>'Cost of Supply'!Q153</f>
        <v>13002.697065310429</v>
      </c>
      <c r="D143" t="s">
        <v>468</v>
      </c>
    </row>
    <row r="144" spans="3:4">
      <c r="C144" s="7">
        <f>'Cost of Supply'!Q154</f>
        <v>14349.069937310429</v>
      </c>
      <c r="D144" t="s">
        <v>469</v>
      </c>
    </row>
    <row r="145" spans="2:5">
      <c r="C145" s="7">
        <f>'Cost of Supply'!Q155</f>
        <v>17093.333450310427</v>
      </c>
      <c r="D145" t="s">
        <v>470</v>
      </c>
    </row>
    <row r="146" spans="2:5">
      <c r="C146" s="7">
        <f>'Cost of Supply'!Q156</f>
        <v>16856.613691310431</v>
      </c>
      <c r="D146" t="s">
        <v>471</v>
      </c>
    </row>
    <row r="147" spans="2:5">
      <c r="C147" s="7">
        <f>'Cost of Supply'!Q157</f>
        <v>13496.13298331043</v>
      </c>
      <c r="D147" t="s">
        <v>472</v>
      </c>
    </row>
    <row r="148" spans="2:5">
      <c r="C148" s="7">
        <f>'Cost of Supply'!Q158</f>
        <v>14725.684235310429</v>
      </c>
      <c r="D148" t="s">
        <v>473</v>
      </c>
    </row>
    <row r="150" spans="2:5">
      <c r="B150" s="1" t="s">
        <v>537</v>
      </c>
    </row>
    <row r="151" spans="2:5">
      <c r="C151" s="7">
        <f>IF(F13&gt;0,1,'Cost of Supply'!K16)</f>
        <v>56</v>
      </c>
    </row>
    <row r="152" spans="2:5">
      <c r="C152" s="7">
        <f>C151+1</f>
        <v>57</v>
      </c>
      <c r="E152" s="1" t="s">
        <v>545</v>
      </c>
    </row>
    <row r="153" spans="2:5">
      <c r="C153" s="7">
        <f t="shared" ref="C153:C216" si="0">C152+1</f>
        <v>58</v>
      </c>
      <c r="E153">
        <v>0</v>
      </c>
    </row>
    <row r="154" spans="2:5">
      <c r="C154" s="7">
        <f t="shared" si="0"/>
        <v>59</v>
      </c>
      <c r="E154">
        <v>50</v>
      </c>
    </row>
    <row r="155" spans="2:5">
      <c r="C155" s="7">
        <f t="shared" si="0"/>
        <v>60</v>
      </c>
    </row>
    <row r="156" spans="2:5">
      <c r="C156" s="7">
        <f t="shared" si="0"/>
        <v>61</v>
      </c>
      <c r="E156" s="1" t="s">
        <v>546</v>
      </c>
    </row>
    <row r="157" spans="2:5">
      <c r="C157" s="7">
        <f t="shared" si="0"/>
        <v>62</v>
      </c>
      <c r="E157">
        <v>0</v>
      </c>
    </row>
    <row r="158" spans="2:5">
      <c r="C158" s="7">
        <f t="shared" si="0"/>
        <v>63</v>
      </c>
      <c r="E158">
        <v>2</v>
      </c>
    </row>
    <row r="159" spans="2:5">
      <c r="C159" s="7">
        <f t="shared" si="0"/>
        <v>64</v>
      </c>
      <c r="E159">
        <v>3</v>
      </c>
    </row>
    <row r="160" spans="2:5">
      <c r="C160" s="7">
        <f t="shared" si="0"/>
        <v>65</v>
      </c>
      <c r="E160">
        <v>4</v>
      </c>
    </row>
    <row r="161" spans="3:3">
      <c r="C161" s="7">
        <f t="shared" si="0"/>
        <v>66</v>
      </c>
    </row>
    <row r="162" spans="3:3">
      <c r="C162" s="7">
        <f t="shared" si="0"/>
        <v>67</v>
      </c>
    </row>
    <row r="163" spans="3:3">
      <c r="C163" s="7">
        <f t="shared" si="0"/>
        <v>68</v>
      </c>
    </row>
    <row r="164" spans="3:3">
      <c r="C164" s="7">
        <f t="shared" si="0"/>
        <v>69</v>
      </c>
    </row>
    <row r="165" spans="3:3">
      <c r="C165" s="7">
        <f t="shared" si="0"/>
        <v>70</v>
      </c>
    </row>
    <row r="166" spans="3:3">
      <c r="C166" s="7">
        <f t="shared" si="0"/>
        <v>71</v>
      </c>
    </row>
    <row r="167" spans="3:3">
      <c r="C167" s="7">
        <f t="shared" si="0"/>
        <v>72</v>
      </c>
    </row>
    <row r="168" spans="3:3">
      <c r="C168" s="7">
        <f t="shared" si="0"/>
        <v>73</v>
      </c>
    </row>
    <row r="169" spans="3:3">
      <c r="C169" s="7">
        <f t="shared" si="0"/>
        <v>74</v>
      </c>
    </row>
    <row r="170" spans="3:3">
      <c r="C170" s="7">
        <f t="shared" si="0"/>
        <v>75</v>
      </c>
    </row>
    <row r="171" spans="3:3">
      <c r="C171" s="7">
        <f t="shared" si="0"/>
        <v>76</v>
      </c>
    </row>
    <row r="172" spans="3:3">
      <c r="C172" s="7">
        <f t="shared" si="0"/>
        <v>77</v>
      </c>
    </row>
    <row r="173" spans="3:3">
      <c r="C173" s="7">
        <f t="shared" si="0"/>
        <v>78</v>
      </c>
    </row>
    <row r="174" spans="3:3">
      <c r="C174" s="7">
        <f t="shared" si="0"/>
        <v>79</v>
      </c>
    </row>
    <row r="175" spans="3:3">
      <c r="C175" s="7">
        <f t="shared" si="0"/>
        <v>80</v>
      </c>
    </row>
    <row r="176" spans="3:3">
      <c r="C176" s="7">
        <f t="shared" si="0"/>
        <v>81</v>
      </c>
    </row>
    <row r="177" spans="3:3">
      <c r="C177" s="7">
        <f t="shared" si="0"/>
        <v>82</v>
      </c>
    </row>
    <row r="178" spans="3:3">
      <c r="C178" s="7">
        <f t="shared" si="0"/>
        <v>83</v>
      </c>
    </row>
    <row r="179" spans="3:3">
      <c r="C179" s="7">
        <f t="shared" si="0"/>
        <v>84</v>
      </c>
    </row>
    <row r="180" spans="3:3">
      <c r="C180" s="7">
        <f t="shared" si="0"/>
        <v>85</v>
      </c>
    </row>
    <row r="181" spans="3:3">
      <c r="C181" s="7">
        <f t="shared" si="0"/>
        <v>86</v>
      </c>
    </row>
    <row r="182" spans="3:3">
      <c r="C182" s="7">
        <f t="shared" si="0"/>
        <v>87</v>
      </c>
    </row>
    <row r="183" spans="3:3">
      <c r="C183" s="7">
        <f t="shared" si="0"/>
        <v>88</v>
      </c>
    </row>
    <row r="184" spans="3:3">
      <c r="C184" s="7">
        <f t="shared" si="0"/>
        <v>89</v>
      </c>
    </row>
    <row r="185" spans="3:3">
      <c r="C185" s="7">
        <f t="shared" si="0"/>
        <v>90</v>
      </c>
    </row>
    <row r="186" spans="3:3">
      <c r="C186" s="7">
        <f t="shared" si="0"/>
        <v>91</v>
      </c>
    </row>
    <row r="187" spans="3:3">
      <c r="C187" s="7">
        <f t="shared" si="0"/>
        <v>92</v>
      </c>
    </row>
    <row r="188" spans="3:3">
      <c r="C188" s="7">
        <f t="shared" si="0"/>
        <v>93</v>
      </c>
    </row>
    <row r="189" spans="3:3">
      <c r="C189" s="7">
        <f t="shared" si="0"/>
        <v>94</v>
      </c>
    </row>
    <row r="190" spans="3:3">
      <c r="C190" s="7">
        <f t="shared" si="0"/>
        <v>95</v>
      </c>
    </row>
    <row r="191" spans="3:3">
      <c r="C191" s="7">
        <f t="shared" si="0"/>
        <v>96</v>
      </c>
    </row>
    <row r="192" spans="3:3">
      <c r="C192" s="7">
        <f t="shared" si="0"/>
        <v>97</v>
      </c>
    </row>
    <row r="193" spans="3:3">
      <c r="C193" s="7">
        <f t="shared" si="0"/>
        <v>98</v>
      </c>
    </row>
    <row r="194" spans="3:3">
      <c r="C194" s="7">
        <f t="shared" si="0"/>
        <v>99</v>
      </c>
    </row>
    <row r="195" spans="3:3">
      <c r="C195" s="7">
        <f t="shared" si="0"/>
        <v>100</v>
      </c>
    </row>
    <row r="196" spans="3:3">
      <c r="C196" s="7">
        <f t="shared" si="0"/>
        <v>101</v>
      </c>
    </row>
    <row r="197" spans="3:3">
      <c r="C197" s="7">
        <f t="shared" si="0"/>
        <v>102</v>
      </c>
    </row>
    <row r="198" spans="3:3">
      <c r="C198" s="7">
        <f t="shared" si="0"/>
        <v>103</v>
      </c>
    </row>
    <row r="199" spans="3:3">
      <c r="C199" s="7">
        <f t="shared" si="0"/>
        <v>104</v>
      </c>
    </row>
    <row r="200" spans="3:3">
      <c r="C200" s="7">
        <f t="shared" si="0"/>
        <v>105</v>
      </c>
    </row>
    <row r="201" spans="3:3">
      <c r="C201" s="7">
        <f t="shared" si="0"/>
        <v>106</v>
      </c>
    </row>
    <row r="202" spans="3:3">
      <c r="C202" s="7">
        <f t="shared" si="0"/>
        <v>107</v>
      </c>
    </row>
    <row r="203" spans="3:3">
      <c r="C203" s="7">
        <f t="shared" si="0"/>
        <v>108</v>
      </c>
    </row>
    <row r="204" spans="3:3">
      <c r="C204" s="7">
        <f t="shared" si="0"/>
        <v>109</v>
      </c>
    </row>
    <row r="205" spans="3:3">
      <c r="C205" s="7">
        <f t="shared" si="0"/>
        <v>110</v>
      </c>
    </row>
    <row r="206" spans="3:3">
      <c r="C206" s="7">
        <f t="shared" si="0"/>
        <v>111</v>
      </c>
    </row>
    <row r="207" spans="3:3">
      <c r="C207" s="7">
        <f t="shared" si="0"/>
        <v>112</v>
      </c>
    </row>
    <row r="208" spans="3:3">
      <c r="C208" s="7">
        <f t="shared" si="0"/>
        <v>113</v>
      </c>
    </row>
    <row r="209" spans="3:3">
      <c r="C209" s="7">
        <f t="shared" si="0"/>
        <v>114</v>
      </c>
    </row>
    <row r="210" spans="3:3">
      <c r="C210" s="7">
        <f t="shared" si="0"/>
        <v>115</v>
      </c>
    </row>
    <row r="211" spans="3:3">
      <c r="C211" s="7">
        <f t="shared" si="0"/>
        <v>116</v>
      </c>
    </row>
    <row r="212" spans="3:3">
      <c r="C212" s="7">
        <f t="shared" si="0"/>
        <v>117</v>
      </c>
    </row>
    <row r="213" spans="3:3">
      <c r="C213" s="7">
        <f t="shared" si="0"/>
        <v>118</v>
      </c>
    </row>
    <row r="214" spans="3:3">
      <c r="C214" s="7">
        <f t="shared" si="0"/>
        <v>119</v>
      </c>
    </row>
    <row r="215" spans="3:3">
      <c r="C215" s="7">
        <f t="shared" si="0"/>
        <v>120</v>
      </c>
    </row>
    <row r="216" spans="3:3">
      <c r="C216" s="7">
        <f t="shared" si="0"/>
        <v>121</v>
      </c>
    </row>
    <row r="217" spans="3:3">
      <c r="C217" s="7">
        <f t="shared" ref="C217:C280" si="1">C216+1</f>
        <v>122</v>
      </c>
    </row>
    <row r="218" spans="3:3">
      <c r="C218" s="7">
        <f t="shared" si="1"/>
        <v>123</v>
      </c>
    </row>
    <row r="219" spans="3:3">
      <c r="C219" s="7">
        <f t="shared" si="1"/>
        <v>124</v>
      </c>
    </row>
    <row r="220" spans="3:3">
      <c r="C220" s="7">
        <f t="shared" si="1"/>
        <v>125</v>
      </c>
    </row>
    <row r="221" spans="3:3">
      <c r="C221" s="7">
        <f t="shared" si="1"/>
        <v>126</v>
      </c>
    </row>
    <row r="222" spans="3:3">
      <c r="C222" s="7">
        <f t="shared" si="1"/>
        <v>127</v>
      </c>
    </row>
    <row r="223" spans="3:3">
      <c r="C223" s="7">
        <f t="shared" si="1"/>
        <v>128</v>
      </c>
    </row>
    <row r="224" spans="3:3">
      <c r="C224" s="7">
        <f t="shared" si="1"/>
        <v>129</v>
      </c>
    </row>
    <row r="225" spans="3:3">
      <c r="C225" s="7">
        <f t="shared" si="1"/>
        <v>130</v>
      </c>
    </row>
    <row r="226" spans="3:3">
      <c r="C226" s="7">
        <f t="shared" si="1"/>
        <v>131</v>
      </c>
    </row>
    <row r="227" spans="3:3">
      <c r="C227" s="7">
        <f t="shared" si="1"/>
        <v>132</v>
      </c>
    </row>
    <row r="228" spans="3:3">
      <c r="C228" s="7">
        <f t="shared" si="1"/>
        <v>133</v>
      </c>
    </row>
    <row r="229" spans="3:3">
      <c r="C229" s="7">
        <f t="shared" si="1"/>
        <v>134</v>
      </c>
    </row>
    <row r="230" spans="3:3">
      <c r="C230" s="7">
        <f t="shared" si="1"/>
        <v>135</v>
      </c>
    </row>
    <row r="231" spans="3:3">
      <c r="C231" s="7">
        <f t="shared" si="1"/>
        <v>136</v>
      </c>
    </row>
    <row r="232" spans="3:3">
      <c r="C232" s="7">
        <f t="shared" si="1"/>
        <v>137</v>
      </c>
    </row>
    <row r="233" spans="3:3">
      <c r="C233" s="7">
        <f t="shared" si="1"/>
        <v>138</v>
      </c>
    </row>
    <row r="234" spans="3:3">
      <c r="C234" s="7">
        <f t="shared" si="1"/>
        <v>139</v>
      </c>
    </row>
    <row r="235" spans="3:3">
      <c r="C235" s="7">
        <f t="shared" si="1"/>
        <v>140</v>
      </c>
    </row>
    <row r="236" spans="3:3">
      <c r="C236" s="7">
        <f t="shared" si="1"/>
        <v>141</v>
      </c>
    </row>
    <row r="237" spans="3:3">
      <c r="C237" s="7">
        <f t="shared" si="1"/>
        <v>142</v>
      </c>
    </row>
    <row r="238" spans="3:3">
      <c r="C238" s="7">
        <f t="shared" si="1"/>
        <v>143</v>
      </c>
    </row>
    <row r="239" spans="3:3">
      <c r="C239" s="7">
        <f t="shared" si="1"/>
        <v>144</v>
      </c>
    </row>
    <row r="240" spans="3:3">
      <c r="C240" s="7">
        <f t="shared" si="1"/>
        <v>145</v>
      </c>
    </row>
    <row r="241" spans="3:3">
      <c r="C241" s="7">
        <f t="shared" si="1"/>
        <v>146</v>
      </c>
    </row>
    <row r="242" spans="3:3">
      <c r="C242" s="7">
        <f t="shared" si="1"/>
        <v>147</v>
      </c>
    </row>
    <row r="243" spans="3:3">
      <c r="C243" s="7">
        <f t="shared" si="1"/>
        <v>148</v>
      </c>
    </row>
    <row r="244" spans="3:3">
      <c r="C244" s="7">
        <f t="shared" si="1"/>
        <v>149</v>
      </c>
    </row>
    <row r="245" spans="3:3">
      <c r="C245" s="7">
        <f t="shared" si="1"/>
        <v>150</v>
      </c>
    </row>
    <row r="246" spans="3:3">
      <c r="C246" s="7">
        <f t="shared" si="1"/>
        <v>151</v>
      </c>
    </row>
    <row r="247" spans="3:3">
      <c r="C247" s="7">
        <f t="shared" si="1"/>
        <v>152</v>
      </c>
    </row>
    <row r="248" spans="3:3">
      <c r="C248" s="7">
        <f t="shared" si="1"/>
        <v>153</v>
      </c>
    </row>
    <row r="249" spans="3:3">
      <c r="C249" s="7">
        <f t="shared" si="1"/>
        <v>154</v>
      </c>
    </row>
    <row r="250" spans="3:3">
      <c r="C250" s="7">
        <f t="shared" si="1"/>
        <v>155</v>
      </c>
    </row>
    <row r="251" spans="3:3">
      <c r="C251" s="7">
        <f t="shared" si="1"/>
        <v>156</v>
      </c>
    </row>
    <row r="252" spans="3:3">
      <c r="C252" s="7">
        <f t="shared" si="1"/>
        <v>157</v>
      </c>
    </row>
    <row r="253" spans="3:3">
      <c r="C253" s="7">
        <f t="shared" si="1"/>
        <v>158</v>
      </c>
    </row>
    <row r="254" spans="3:3">
      <c r="C254" s="7">
        <f t="shared" si="1"/>
        <v>159</v>
      </c>
    </row>
    <row r="255" spans="3:3">
      <c r="C255" s="7">
        <f t="shared" si="1"/>
        <v>160</v>
      </c>
    </row>
    <row r="256" spans="3:3">
      <c r="C256" s="7">
        <f t="shared" si="1"/>
        <v>161</v>
      </c>
    </row>
    <row r="257" spans="3:3">
      <c r="C257" s="7">
        <f t="shared" si="1"/>
        <v>162</v>
      </c>
    </row>
    <row r="258" spans="3:3">
      <c r="C258" s="7">
        <f t="shared" si="1"/>
        <v>163</v>
      </c>
    </row>
    <row r="259" spans="3:3">
      <c r="C259" s="7">
        <f t="shared" si="1"/>
        <v>164</v>
      </c>
    </row>
    <row r="260" spans="3:3">
      <c r="C260" s="7">
        <f t="shared" si="1"/>
        <v>165</v>
      </c>
    </row>
    <row r="261" spans="3:3">
      <c r="C261" s="7">
        <f t="shared" si="1"/>
        <v>166</v>
      </c>
    </row>
    <row r="262" spans="3:3">
      <c r="C262" s="7">
        <f t="shared" si="1"/>
        <v>167</v>
      </c>
    </row>
    <row r="263" spans="3:3">
      <c r="C263" s="7">
        <f t="shared" si="1"/>
        <v>168</v>
      </c>
    </row>
    <row r="264" spans="3:3">
      <c r="C264" s="7">
        <f t="shared" si="1"/>
        <v>169</v>
      </c>
    </row>
    <row r="265" spans="3:3">
      <c r="C265" s="7">
        <f t="shared" si="1"/>
        <v>170</v>
      </c>
    </row>
    <row r="266" spans="3:3">
      <c r="C266" s="7">
        <f t="shared" si="1"/>
        <v>171</v>
      </c>
    </row>
    <row r="267" spans="3:3">
      <c r="C267" s="7">
        <f t="shared" si="1"/>
        <v>172</v>
      </c>
    </row>
    <row r="268" spans="3:3">
      <c r="C268" s="7">
        <f t="shared" si="1"/>
        <v>173</v>
      </c>
    </row>
    <row r="269" spans="3:3">
      <c r="C269" s="7">
        <f t="shared" si="1"/>
        <v>174</v>
      </c>
    </row>
    <row r="270" spans="3:3">
      <c r="C270" s="7">
        <f t="shared" si="1"/>
        <v>175</v>
      </c>
    </row>
    <row r="271" spans="3:3">
      <c r="C271" s="7">
        <f t="shared" si="1"/>
        <v>176</v>
      </c>
    </row>
    <row r="272" spans="3:3">
      <c r="C272" s="7">
        <f t="shared" si="1"/>
        <v>177</v>
      </c>
    </row>
    <row r="273" spans="3:3">
      <c r="C273" s="7">
        <f t="shared" si="1"/>
        <v>178</v>
      </c>
    </row>
    <row r="274" spans="3:3">
      <c r="C274" s="7">
        <f t="shared" si="1"/>
        <v>179</v>
      </c>
    </row>
    <row r="275" spans="3:3">
      <c r="C275" s="7">
        <f t="shared" si="1"/>
        <v>180</v>
      </c>
    </row>
    <row r="276" spans="3:3">
      <c r="C276" s="7">
        <f t="shared" si="1"/>
        <v>181</v>
      </c>
    </row>
    <row r="277" spans="3:3">
      <c r="C277" s="7">
        <f t="shared" si="1"/>
        <v>182</v>
      </c>
    </row>
    <row r="278" spans="3:3">
      <c r="C278" s="7">
        <f t="shared" si="1"/>
        <v>183</v>
      </c>
    </row>
    <row r="279" spans="3:3">
      <c r="C279" s="7">
        <f t="shared" si="1"/>
        <v>184</v>
      </c>
    </row>
    <row r="280" spans="3:3">
      <c r="C280" s="7">
        <f t="shared" si="1"/>
        <v>185</v>
      </c>
    </row>
    <row r="281" spans="3:3">
      <c r="C281" s="7">
        <f t="shared" ref="C281:C325" si="2">C280+1</f>
        <v>186</v>
      </c>
    </row>
    <row r="282" spans="3:3">
      <c r="C282" s="7">
        <f t="shared" si="2"/>
        <v>187</v>
      </c>
    </row>
    <row r="283" spans="3:3">
      <c r="C283" s="7">
        <f t="shared" si="2"/>
        <v>188</v>
      </c>
    </row>
    <row r="284" spans="3:3">
      <c r="C284" s="7">
        <f t="shared" si="2"/>
        <v>189</v>
      </c>
    </row>
    <row r="285" spans="3:3">
      <c r="C285" s="7">
        <f t="shared" si="2"/>
        <v>190</v>
      </c>
    </row>
    <row r="286" spans="3:3">
      <c r="C286" s="7">
        <f t="shared" si="2"/>
        <v>191</v>
      </c>
    </row>
    <row r="287" spans="3:3">
      <c r="C287" s="7">
        <f t="shared" si="2"/>
        <v>192</v>
      </c>
    </row>
    <row r="288" spans="3:3">
      <c r="C288" s="7">
        <f t="shared" si="2"/>
        <v>193</v>
      </c>
    </row>
    <row r="289" spans="3:3">
      <c r="C289" s="7">
        <f t="shared" si="2"/>
        <v>194</v>
      </c>
    </row>
    <row r="290" spans="3:3">
      <c r="C290" s="7">
        <f t="shared" si="2"/>
        <v>195</v>
      </c>
    </row>
    <row r="291" spans="3:3">
      <c r="C291" s="7">
        <f t="shared" si="2"/>
        <v>196</v>
      </c>
    </row>
    <row r="292" spans="3:3">
      <c r="C292" s="7">
        <f t="shared" si="2"/>
        <v>197</v>
      </c>
    </row>
    <row r="293" spans="3:3">
      <c r="C293" s="7">
        <f t="shared" si="2"/>
        <v>198</v>
      </c>
    </row>
    <row r="294" spans="3:3">
      <c r="C294" s="7">
        <f t="shared" si="2"/>
        <v>199</v>
      </c>
    </row>
    <row r="295" spans="3:3">
      <c r="C295" s="7">
        <f t="shared" si="2"/>
        <v>200</v>
      </c>
    </row>
    <row r="296" spans="3:3">
      <c r="C296" s="7">
        <f t="shared" si="2"/>
        <v>201</v>
      </c>
    </row>
    <row r="297" spans="3:3">
      <c r="C297" s="7">
        <f t="shared" si="2"/>
        <v>202</v>
      </c>
    </row>
    <row r="298" spans="3:3">
      <c r="C298" s="7">
        <f t="shared" si="2"/>
        <v>203</v>
      </c>
    </row>
    <row r="299" spans="3:3">
      <c r="C299" s="7">
        <f t="shared" si="2"/>
        <v>204</v>
      </c>
    </row>
    <row r="300" spans="3:3">
      <c r="C300" s="7">
        <f t="shared" si="2"/>
        <v>205</v>
      </c>
    </row>
    <row r="301" spans="3:3">
      <c r="C301" s="7">
        <f t="shared" si="2"/>
        <v>206</v>
      </c>
    </row>
    <row r="302" spans="3:3">
      <c r="C302" s="7">
        <f t="shared" si="2"/>
        <v>207</v>
      </c>
    </row>
    <row r="303" spans="3:3">
      <c r="C303" s="7">
        <f t="shared" si="2"/>
        <v>208</v>
      </c>
    </row>
    <row r="304" spans="3:3">
      <c r="C304" s="7">
        <f t="shared" si="2"/>
        <v>209</v>
      </c>
    </row>
    <row r="305" spans="3:3">
      <c r="C305" s="7">
        <f t="shared" si="2"/>
        <v>210</v>
      </c>
    </row>
    <row r="306" spans="3:3">
      <c r="C306" s="7">
        <f t="shared" si="2"/>
        <v>211</v>
      </c>
    </row>
    <row r="307" spans="3:3">
      <c r="C307" s="7">
        <f t="shared" si="2"/>
        <v>212</v>
      </c>
    </row>
    <row r="308" spans="3:3">
      <c r="C308" s="7">
        <f t="shared" si="2"/>
        <v>213</v>
      </c>
    </row>
    <row r="309" spans="3:3">
      <c r="C309" s="7">
        <f t="shared" si="2"/>
        <v>214</v>
      </c>
    </row>
    <row r="310" spans="3:3">
      <c r="C310" s="7">
        <f t="shared" si="2"/>
        <v>215</v>
      </c>
    </row>
    <row r="311" spans="3:3">
      <c r="C311" s="7">
        <f t="shared" si="2"/>
        <v>216</v>
      </c>
    </row>
    <row r="312" spans="3:3">
      <c r="C312" s="7">
        <f t="shared" si="2"/>
        <v>217</v>
      </c>
    </row>
    <row r="313" spans="3:3">
      <c r="C313" s="7">
        <f t="shared" si="2"/>
        <v>218</v>
      </c>
    </row>
    <row r="314" spans="3:3">
      <c r="C314" s="7">
        <f t="shared" si="2"/>
        <v>219</v>
      </c>
    </row>
    <row r="315" spans="3:3">
      <c r="C315" s="7">
        <f t="shared" si="2"/>
        <v>220</v>
      </c>
    </row>
    <row r="316" spans="3:3">
      <c r="C316" s="7">
        <f t="shared" si="2"/>
        <v>221</v>
      </c>
    </row>
    <row r="317" spans="3:3">
      <c r="C317" s="7">
        <f t="shared" si="2"/>
        <v>222</v>
      </c>
    </row>
    <row r="318" spans="3:3">
      <c r="C318" s="7">
        <f t="shared" si="2"/>
        <v>223</v>
      </c>
    </row>
    <row r="319" spans="3:3">
      <c r="C319" s="7">
        <f t="shared" si="2"/>
        <v>224</v>
      </c>
    </row>
    <row r="320" spans="3:3">
      <c r="C320" s="7">
        <f t="shared" si="2"/>
        <v>225</v>
      </c>
    </row>
    <row r="321" spans="3:3">
      <c r="C321" s="7">
        <f t="shared" si="2"/>
        <v>226</v>
      </c>
    </row>
    <row r="322" spans="3:3">
      <c r="C322" s="7">
        <f t="shared" si="2"/>
        <v>227</v>
      </c>
    </row>
    <row r="323" spans="3:3">
      <c r="C323" s="7">
        <f t="shared" si="2"/>
        <v>228</v>
      </c>
    </row>
    <row r="324" spans="3:3">
      <c r="C324" s="7">
        <f t="shared" si="2"/>
        <v>229</v>
      </c>
    </row>
    <row r="325" spans="3:3">
      <c r="C325" s="7">
        <f t="shared" si="2"/>
        <v>230</v>
      </c>
    </row>
    <row r="326" spans="3:3">
      <c r="C326" s="7"/>
    </row>
    <row r="327" spans="3:3">
      <c r="C327" s="7"/>
    </row>
    <row r="328" spans="3:3">
      <c r="C328" s="7"/>
    </row>
    <row r="329" spans="3:3">
      <c r="C329" s="7"/>
    </row>
    <row r="330" spans="3:3">
      <c r="C330" s="7"/>
    </row>
    <row r="331" spans="3:3">
      <c r="C331" s="7"/>
    </row>
    <row r="332" spans="3:3">
      <c r="C332" s="7"/>
    </row>
    <row r="333" spans="3:3">
      <c r="C333" s="7"/>
    </row>
    <row r="334" spans="3:3">
      <c r="C334" s="7"/>
    </row>
    <row r="335" spans="3:3">
      <c r="C335" s="7"/>
    </row>
    <row r="336" spans="3:3">
      <c r="C336" s="7"/>
    </row>
    <row r="337" spans="3:3">
      <c r="C337" s="7"/>
    </row>
    <row r="338" spans="3:3">
      <c r="C338" s="7"/>
    </row>
    <row r="339" spans="3:3">
      <c r="C339" s="7"/>
    </row>
    <row r="340" spans="3:3">
      <c r="C340" s="7"/>
    </row>
    <row r="341" spans="3:3">
      <c r="C341" s="7"/>
    </row>
    <row r="342" spans="3:3">
      <c r="C342" s="7"/>
    </row>
    <row r="343" spans="3:3">
      <c r="C343" s="7"/>
    </row>
    <row r="344" spans="3:3">
      <c r="C344" s="7"/>
    </row>
    <row r="345" spans="3:3">
      <c r="C345" s="7"/>
    </row>
    <row r="346" spans="3:3">
      <c r="C346" s="7"/>
    </row>
    <row r="347" spans="3:3">
      <c r="C347" s="7"/>
    </row>
    <row r="348" spans="3:3">
      <c r="C348" s="7"/>
    </row>
    <row r="349" spans="3:3">
      <c r="C349" s="7"/>
    </row>
    <row r="350" spans="3:3">
      <c r="C350" s="7"/>
    </row>
    <row r="351" spans="3:3">
      <c r="C351" s="7"/>
    </row>
    <row r="352" spans="3:3">
      <c r="C352" s="7"/>
    </row>
    <row r="353" spans="3:3">
      <c r="C353" s="7"/>
    </row>
    <row r="354" spans="3:3">
      <c r="C354" s="7"/>
    </row>
    <row r="355" spans="3:3">
      <c r="C355" s="7"/>
    </row>
    <row r="356" spans="3:3">
      <c r="C356" s="7"/>
    </row>
    <row r="357" spans="3:3">
      <c r="C357" s="7"/>
    </row>
  </sheetData>
  <sheetProtection password="CA47" sheet="1" objects="1" scenarios="1"/>
  <mergeCells count="11">
    <mergeCell ref="B107:D107"/>
    <mergeCell ref="B66:N66"/>
    <mergeCell ref="F106:G106"/>
    <mergeCell ref="B3:C3"/>
    <mergeCell ref="B69:E69"/>
    <mergeCell ref="B72:E72"/>
    <mergeCell ref="G13:Q13"/>
    <mergeCell ref="B96:E96"/>
    <mergeCell ref="F97:H97"/>
    <mergeCell ref="F96:I96"/>
    <mergeCell ref="B104:D104"/>
  </mergeCells>
  <dataValidations count="3">
    <dataValidation type="list" showDropDown="1" showInputMessage="1" showErrorMessage="1" prompt="Without batteries the installed solar capacity needs to be sufficient to drive the electric motor for the irrigator and therefore should be greater than the minimum specified" sqref="F11">
      <formula1>$C$151:$C$325</formula1>
    </dataValidation>
    <dataValidation type="list" allowBlank="1" showInputMessage="1" showErrorMessage="1" sqref="F12">
      <formula1>$E$153:$E$154</formula1>
    </dataValidation>
    <dataValidation type="list" allowBlank="1" showInputMessage="1" showErrorMessage="1" sqref="F13">
      <formula1>$E$157:$E$160</formula1>
    </dataValidation>
  </dataValidations>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sheetPr codeName="Sheet3"/>
  <dimension ref="A1:T68"/>
  <sheetViews>
    <sheetView workbookViewId="0">
      <selection activeCell="F12" sqref="F12"/>
    </sheetView>
  </sheetViews>
  <sheetFormatPr defaultRowHeight="15.6"/>
  <cols>
    <col min="1" max="1" width="2.5546875" customWidth="1"/>
    <col min="2" max="2" width="59.5546875" style="9" customWidth="1"/>
    <col min="3" max="3" width="6" style="8" customWidth="1"/>
    <col min="4" max="5" width="6.6640625" style="8" customWidth="1"/>
    <col min="6" max="14" width="10.6640625" customWidth="1"/>
    <col min="15" max="15" width="6.6640625" customWidth="1"/>
    <col min="16" max="16" width="9" bestFit="1" customWidth="1"/>
    <col min="17" max="17" width="11" bestFit="1" customWidth="1"/>
  </cols>
  <sheetData>
    <row r="1" spans="1:20" ht="18">
      <c r="A1" s="71" t="s">
        <v>65</v>
      </c>
      <c r="C1" s="10"/>
      <c r="D1" s="10"/>
      <c r="E1" s="10"/>
      <c r="F1" s="10"/>
      <c r="G1" s="10"/>
      <c r="H1" s="10"/>
      <c r="I1" s="10"/>
      <c r="J1" s="10"/>
      <c r="K1" s="10"/>
      <c r="L1" s="10"/>
      <c r="M1" s="10"/>
      <c r="N1" s="10"/>
      <c r="O1" s="10"/>
      <c r="P1" s="10"/>
      <c r="Q1" s="10"/>
      <c r="R1" s="10"/>
      <c r="S1" s="2"/>
      <c r="T1" s="2"/>
    </row>
    <row r="2" spans="1:20" ht="14.4">
      <c r="A2" s="10"/>
      <c r="B2" s="11"/>
      <c r="C2" s="10"/>
      <c r="D2" s="10"/>
      <c r="E2" s="10"/>
      <c r="F2" s="10"/>
      <c r="G2" s="10"/>
      <c r="H2" s="10"/>
      <c r="I2" s="10"/>
      <c r="J2" s="10"/>
      <c r="K2" s="10"/>
      <c r="L2" s="10"/>
      <c r="M2" s="10"/>
      <c r="N2" s="10"/>
      <c r="O2" s="10"/>
      <c r="P2" s="10"/>
      <c r="Q2" s="10"/>
      <c r="R2" s="10"/>
      <c r="S2" s="2"/>
      <c r="T2" s="2"/>
    </row>
    <row r="3" spans="1:20" ht="14.4">
      <c r="A3" s="10"/>
      <c r="B3" s="32" t="s">
        <v>63</v>
      </c>
      <c r="C3" s="10"/>
      <c r="D3" s="10"/>
      <c r="E3" s="10"/>
      <c r="F3" s="10"/>
      <c r="G3" s="10"/>
      <c r="H3" s="10"/>
      <c r="I3" s="10"/>
      <c r="J3" s="10"/>
      <c r="K3" s="10"/>
      <c r="L3" s="10"/>
      <c r="M3" s="10"/>
      <c r="N3" s="10"/>
      <c r="O3" s="10"/>
      <c r="P3" s="10"/>
      <c r="Q3" s="10"/>
      <c r="R3" s="10"/>
      <c r="S3" s="2"/>
      <c r="T3" s="2"/>
    </row>
    <row r="4" spans="1:20" ht="14.4">
      <c r="A4" s="10"/>
      <c r="B4" s="36" t="s">
        <v>59</v>
      </c>
      <c r="C4" s="10"/>
      <c r="D4" s="10"/>
      <c r="E4" s="10"/>
      <c r="F4" s="10"/>
      <c r="G4" s="10"/>
      <c r="H4" s="10"/>
      <c r="I4" s="10"/>
      <c r="J4" s="10"/>
      <c r="K4" s="10"/>
      <c r="L4" s="10"/>
      <c r="M4" s="10"/>
      <c r="N4" s="10"/>
      <c r="O4" s="10"/>
      <c r="P4" s="10"/>
      <c r="Q4" s="10"/>
      <c r="R4" s="10"/>
      <c r="S4" s="2"/>
      <c r="T4" s="2"/>
    </row>
    <row r="5" spans="1:20" ht="14.4">
      <c r="A5" s="10"/>
      <c r="B5" s="36" t="s">
        <v>60</v>
      </c>
      <c r="C5" s="10"/>
      <c r="D5" s="10"/>
      <c r="E5" s="10"/>
      <c r="F5" s="10"/>
      <c r="G5" s="10"/>
      <c r="H5" s="10"/>
      <c r="I5" s="10"/>
      <c r="J5" s="10"/>
      <c r="K5" s="10"/>
      <c r="L5" s="10"/>
      <c r="M5" s="10"/>
      <c r="N5" s="10"/>
      <c r="O5" s="10"/>
      <c r="P5" s="10"/>
      <c r="Q5" s="10"/>
      <c r="R5" s="10"/>
      <c r="S5" s="2"/>
      <c r="T5" s="2"/>
    </row>
    <row r="6" spans="1:20" ht="14.4">
      <c r="A6" s="10"/>
      <c r="B6" s="36" t="s">
        <v>61</v>
      </c>
      <c r="C6" s="10"/>
      <c r="D6" s="10"/>
      <c r="E6" s="10"/>
      <c r="F6" s="10"/>
      <c r="G6" s="10"/>
      <c r="H6" s="10"/>
      <c r="I6" s="10"/>
      <c r="J6" s="10"/>
      <c r="K6" s="10"/>
      <c r="L6" s="10"/>
      <c r="M6" s="10"/>
      <c r="N6" s="10"/>
      <c r="O6" s="10"/>
      <c r="P6" s="10"/>
      <c r="Q6" s="10"/>
      <c r="R6" s="10"/>
      <c r="S6" s="2"/>
      <c r="T6" s="2"/>
    </row>
    <row r="7" spans="1:20" ht="14.4">
      <c r="A7" s="10"/>
      <c r="B7" s="36" t="s">
        <v>62</v>
      </c>
      <c r="C7" s="10"/>
      <c r="D7" s="10"/>
      <c r="E7" s="10"/>
      <c r="F7" s="10"/>
      <c r="G7" s="10"/>
      <c r="H7" s="10"/>
      <c r="I7" s="10"/>
      <c r="J7" s="10"/>
      <c r="K7" s="7"/>
      <c r="L7" s="7"/>
      <c r="M7" s="10"/>
      <c r="N7" s="10"/>
      <c r="O7" s="10"/>
      <c r="P7" s="10"/>
      <c r="Q7" s="10"/>
      <c r="R7" s="10"/>
      <c r="S7" s="2"/>
      <c r="T7" s="2"/>
    </row>
    <row r="8" spans="1:20" ht="14.4">
      <c r="A8" s="10"/>
      <c r="B8" s="36"/>
      <c r="C8" s="10"/>
      <c r="D8" s="10"/>
      <c r="E8" s="10"/>
      <c r="F8" s="10"/>
      <c r="G8" s="10"/>
      <c r="H8" s="10"/>
      <c r="I8" s="10"/>
      <c r="J8" s="10"/>
      <c r="K8" s="7"/>
      <c r="M8" s="10"/>
      <c r="N8" s="10"/>
      <c r="O8" s="10"/>
      <c r="P8" s="10"/>
      <c r="Q8" s="10"/>
      <c r="R8" s="10"/>
      <c r="S8" s="2"/>
      <c r="T8" s="2"/>
    </row>
    <row r="9" spans="1:20" ht="14.4">
      <c r="A9" s="10"/>
      <c r="B9" s="36" t="s">
        <v>167</v>
      </c>
      <c r="C9" s="49">
        <f>Summary!F6</f>
        <v>40</v>
      </c>
      <c r="D9" s="49"/>
      <c r="E9" s="49"/>
      <c r="F9" s="10"/>
      <c r="G9" s="10"/>
      <c r="H9" s="10"/>
      <c r="J9" s="10"/>
      <c r="M9" s="10"/>
      <c r="N9" s="10"/>
      <c r="O9" s="10"/>
      <c r="P9" s="2"/>
      <c r="Q9" s="2"/>
    </row>
    <row r="10" spans="1:20" ht="14.4">
      <c r="A10" s="10"/>
      <c r="B10" s="36" t="s">
        <v>179</v>
      </c>
      <c r="C10" s="126">
        <f>Summary!F8</f>
        <v>40</v>
      </c>
      <c r="D10" s="28"/>
      <c r="E10" s="28"/>
      <c r="F10" s="29"/>
      <c r="G10" s="30"/>
      <c r="H10" s="30"/>
      <c r="J10" s="30"/>
      <c r="K10" s="30"/>
      <c r="L10" s="30"/>
      <c r="M10" s="10"/>
      <c r="N10" s="10"/>
      <c r="O10" s="10"/>
      <c r="P10" s="2"/>
      <c r="Q10" s="2"/>
    </row>
    <row r="11" spans="1:20" ht="14.4">
      <c r="A11" s="10"/>
      <c r="B11" s="36" t="s">
        <v>177</v>
      </c>
      <c r="C11" s="15">
        <f>Summary!F9</f>
        <v>36</v>
      </c>
      <c r="D11" s="15"/>
      <c r="E11" s="15"/>
      <c r="F11" s="30"/>
      <c r="G11" s="30"/>
      <c r="H11" s="30"/>
      <c r="J11" s="30"/>
      <c r="K11" s="30"/>
      <c r="L11" s="30"/>
      <c r="M11" s="10"/>
      <c r="N11" s="10"/>
      <c r="O11" s="10"/>
      <c r="P11" s="2"/>
      <c r="Q11" s="2"/>
    </row>
    <row r="12" spans="1:20" ht="14.4">
      <c r="A12" s="10"/>
      <c r="B12" s="36" t="s">
        <v>521</v>
      </c>
      <c r="C12" s="15">
        <f>C11</f>
        <v>36</v>
      </c>
      <c r="D12" s="15"/>
      <c r="E12" s="15"/>
      <c r="F12" s="30"/>
      <c r="G12" s="30"/>
      <c r="H12" s="30"/>
      <c r="J12" s="30"/>
      <c r="K12" s="30"/>
      <c r="L12" s="30"/>
      <c r="M12" s="10"/>
      <c r="N12" s="10"/>
      <c r="O12" s="10"/>
      <c r="P12" s="2"/>
      <c r="Q12" s="2"/>
    </row>
    <row r="13" spans="1:20" ht="14.4">
      <c r="A13" s="10"/>
      <c r="B13" s="36" t="s">
        <v>178</v>
      </c>
      <c r="C13" s="15">
        <f>Summary!F10</f>
        <v>25</v>
      </c>
      <c r="D13" s="15"/>
      <c r="E13" s="15"/>
      <c r="F13" s="30"/>
      <c r="G13" s="30"/>
      <c r="H13" s="30"/>
      <c r="I13" s="30"/>
      <c r="J13" s="30"/>
      <c r="K13" s="30"/>
      <c r="L13" s="30"/>
      <c r="M13" s="10"/>
      <c r="N13" s="10"/>
      <c r="O13" s="10"/>
      <c r="P13" s="2"/>
      <c r="Q13" s="2"/>
    </row>
    <row r="14" spans="1:20" ht="14.4">
      <c r="A14" s="10"/>
      <c r="B14" s="36" t="s">
        <v>158</v>
      </c>
      <c r="C14" s="15">
        <f>Summary!F11</f>
        <v>56</v>
      </c>
      <c r="D14" s="15"/>
      <c r="E14" s="15"/>
      <c r="F14" s="31"/>
      <c r="G14" s="31"/>
      <c r="H14" s="31"/>
      <c r="I14" s="31"/>
      <c r="J14" s="31"/>
      <c r="K14" s="31"/>
      <c r="L14" s="31"/>
      <c r="M14" s="10"/>
      <c r="N14" s="10"/>
      <c r="O14" s="10"/>
      <c r="P14" s="2"/>
      <c r="Q14" s="2"/>
    </row>
    <row r="15" spans="1:20" ht="14.4">
      <c r="A15" s="10"/>
      <c r="B15" s="36" t="s">
        <v>415</v>
      </c>
      <c r="C15" s="15">
        <f>Summary!F12</f>
        <v>0</v>
      </c>
      <c r="D15" s="14"/>
      <c r="E15" s="14"/>
      <c r="F15" s="10"/>
      <c r="G15" s="10"/>
      <c r="H15" s="16"/>
      <c r="I15" s="31"/>
      <c r="J15" s="10"/>
      <c r="K15" s="10"/>
      <c r="L15" s="10"/>
      <c r="M15" s="10"/>
      <c r="N15" s="10"/>
      <c r="O15" s="10"/>
      <c r="P15" s="10"/>
      <c r="Q15" s="10"/>
      <c r="R15" s="10"/>
      <c r="S15" s="2"/>
      <c r="T15" s="2"/>
    </row>
    <row r="16" spans="1:20" ht="14.4">
      <c r="A16" s="10"/>
      <c r="B16" s="36" t="s">
        <v>419</v>
      </c>
      <c r="C16" s="15">
        <f>Summary!F13</f>
        <v>0</v>
      </c>
      <c r="D16" s="14"/>
      <c r="E16" s="14"/>
      <c r="F16" s="10"/>
      <c r="G16" s="10"/>
      <c r="H16" s="49"/>
      <c r="I16" s="31"/>
      <c r="J16" s="10"/>
      <c r="K16" s="10"/>
      <c r="L16" s="10"/>
      <c r="M16" s="10"/>
      <c r="N16" s="10"/>
      <c r="O16" s="10"/>
      <c r="P16" s="10"/>
      <c r="Q16" s="10"/>
      <c r="R16" s="10"/>
      <c r="S16" s="2"/>
      <c r="T16" s="2"/>
    </row>
    <row r="17" spans="1:20" ht="14.4">
      <c r="A17" s="10"/>
      <c r="B17" s="11"/>
      <c r="C17" s="10"/>
      <c r="D17" s="10"/>
      <c r="E17" s="10"/>
      <c r="F17" s="10"/>
      <c r="G17" s="10"/>
      <c r="H17" s="10"/>
      <c r="I17" s="10"/>
      <c r="J17" s="10"/>
      <c r="K17" s="10"/>
      <c r="L17" s="10"/>
      <c r="M17" s="10"/>
      <c r="N17" s="10"/>
      <c r="O17" s="10"/>
      <c r="P17" s="10"/>
      <c r="Q17" s="10"/>
      <c r="R17" s="10"/>
      <c r="S17" s="2"/>
      <c r="T17" s="2"/>
    </row>
    <row r="18" spans="1:20" ht="14.4">
      <c r="A18" s="10"/>
      <c r="B18" s="32" t="s">
        <v>31</v>
      </c>
      <c r="C18" s="33"/>
      <c r="D18" s="33"/>
      <c r="E18" s="33"/>
      <c r="F18" s="33"/>
      <c r="G18" s="10"/>
      <c r="H18" s="10"/>
      <c r="I18" s="10"/>
      <c r="J18" s="10"/>
      <c r="K18" s="10"/>
      <c r="L18" s="10"/>
      <c r="M18" s="10"/>
      <c r="N18" s="10"/>
      <c r="O18" s="10"/>
      <c r="P18" s="10"/>
      <c r="Q18" s="10"/>
      <c r="R18" s="10"/>
      <c r="S18" s="2"/>
      <c r="T18" s="2"/>
    </row>
    <row r="19" spans="1:20" ht="14.4">
      <c r="A19" s="10"/>
      <c r="B19" s="32"/>
      <c r="C19" s="33"/>
      <c r="D19" s="33"/>
      <c r="E19" s="33"/>
      <c r="G19" s="10"/>
      <c r="H19" s="10"/>
      <c r="I19" s="10"/>
      <c r="J19" s="10"/>
      <c r="K19" s="10"/>
      <c r="L19" s="10"/>
      <c r="M19" s="10"/>
      <c r="N19" s="10"/>
      <c r="O19" s="10"/>
      <c r="P19" s="10"/>
      <c r="Q19" s="10"/>
      <c r="R19" s="10"/>
      <c r="S19" s="2"/>
      <c r="T19" s="2"/>
    </row>
    <row r="20" spans="1:20" ht="14.4">
      <c r="A20" s="10"/>
      <c r="B20" s="43" t="s">
        <v>58</v>
      </c>
      <c r="C20" s="10"/>
      <c r="D20" s="94" t="s">
        <v>329</v>
      </c>
      <c r="E20" s="94" t="s">
        <v>330</v>
      </c>
      <c r="F20" s="94" t="s">
        <v>32</v>
      </c>
      <c r="G20" s="94" t="s">
        <v>33</v>
      </c>
      <c r="H20" s="94" t="s">
        <v>34</v>
      </c>
      <c r="I20" s="94" t="s">
        <v>35</v>
      </c>
      <c r="J20" s="94" t="s">
        <v>36</v>
      </c>
      <c r="K20" s="94" t="s">
        <v>37</v>
      </c>
      <c r="L20" s="94" t="s">
        <v>38</v>
      </c>
      <c r="M20" s="94" t="s">
        <v>39</v>
      </c>
      <c r="N20" s="94" t="s">
        <v>40</v>
      </c>
      <c r="O20" s="94" t="s">
        <v>331</v>
      </c>
      <c r="P20" s="32" t="s">
        <v>187</v>
      </c>
      <c r="Q20" s="10"/>
      <c r="R20" s="10"/>
      <c r="S20" s="2"/>
      <c r="T20" s="2"/>
    </row>
    <row r="21" spans="1:20" ht="14.4">
      <c r="A21" s="10"/>
      <c r="B21" s="10" t="s">
        <v>41</v>
      </c>
      <c r="C21" s="34">
        <v>0.15</v>
      </c>
      <c r="D21" s="34"/>
      <c r="E21" s="34"/>
      <c r="F21" s="16">
        <v>4.2</v>
      </c>
      <c r="G21" s="16">
        <v>6</v>
      </c>
      <c r="H21" s="16">
        <v>7.4</v>
      </c>
      <c r="I21" s="16">
        <v>6.9</v>
      </c>
      <c r="J21" s="16">
        <v>7.4</v>
      </c>
      <c r="K21" s="16">
        <v>6.8</v>
      </c>
      <c r="L21" s="16">
        <v>4.5</v>
      </c>
      <c r="M21" s="16">
        <v>2.9</v>
      </c>
      <c r="N21" s="16">
        <v>2</v>
      </c>
      <c r="O21" s="49"/>
      <c r="P21" s="79">
        <f t="shared" ref="P21:P26" si="0">SUM(C21:N21)</f>
        <v>48.249999999999993</v>
      </c>
      <c r="Q21" s="10"/>
      <c r="R21" s="10"/>
      <c r="S21" s="2"/>
      <c r="T21" s="2"/>
    </row>
    <row r="22" spans="1:20" ht="14.4">
      <c r="A22" s="10"/>
      <c r="B22" s="10" t="s">
        <v>42</v>
      </c>
      <c r="C22" s="34">
        <v>0.15</v>
      </c>
      <c r="D22" s="34"/>
      <c r="E22" s="34"/>
      <c r="F22" s="16">
        <v>0</v>
      </c>
      <c r="G22" s="16">
        <v>2</v>
      </c>
      <c r="H22" s="16">
        <v>4</v>
      </c>
      <c r="I22" s="16">
        <v>5.3</v>
      </c>
      <c r="J22" s="16">
        <v>5.6</v>
      </c>
      <c r="K22" s="16">
        <v>6.5</v>
      </c>
      <c r="L22" s="16">
        <v>5</v>
      </c>
      <c r="M22" s="16">
        <v>3.5</v>
      </c>
      <c r="N22" s="16">
        <v>2.5</v>
      </c>
      <c r="O22" s="49"/>
      <c r="P22" s="79">
        <f t="shared" si="0"/>
        <v>34.549999999999997</v>
      </c>
      <c r="Q22" s="10"/>
      <c r="R22" s="10"/>
      <c r="S22" s="2"/>
      <c r="T22" s="2"/>
    </row>
    <row r="23" spans="1:20" ht="14.4">
      <c r="A23" s="10"/>
      <c r="B23" s="10" t="s">
        <v>43</v>
      </c>
      <c r="C23" s="34">
        <v>0.25</v>
      </c>
      <c r="D23" s="34"/>
      <c r="E23" s="34"/>
      <c r="F23" s="16">
        <v>1.5</v>
      </c>
      <c r="G23" s="16">
        <v>2</v>
      </c>
      <c r="H23" s="16">
        <v>4.5</v>
      </c>
      <c r="I23" s="16">
        <v>6</v>
      </c>
      <c r="J23" s="16">
        <v>7.4</v>
      </c>
      <c r="K23" s="16">
        <v>6.5</v>
      </c>
      <c r="L23" s="16">
        <v>5</v>
      </c>
      <c r="M23" s="16">
        <v>3.5</v>
      </c>
      <c r="N23" s="16">
        <v>2.5</v>
      </c>
      <c r="O23" s="49"/>
      <c r="P23" s="79">
        <f t="shared" si="0"/>
        <v>39.15</v>
      </c>
      <c r="Q23" s="10"/>
      <c r="R23" s="10"/>
      <c r="S23" s="2"/>
      <c r="T23" s="2"/>
    </row>
    <row r="24" spans="1:20" ht="14.4">
      <c r="A24" s="10"/>
      <c r="B24" s="10" t="s">
        <v>44</v>
      </c>
      <c r="C24" s="34">
        <v>0.25</v>
      </c>
      <c r="D24" s="34"/>
      <c r="E24" s="34"/>
      <c r="F24" s="16">
        <v>0</v>
      </c>
      <c r="G24" s="16">
        <v>2</v>
      </c>
      <c r="H24" s="16">
        <v>3</v>
      </c>
      <c r="I24" s="16">
        <v>4</v>
      </c>
      <c r="J24" s="16">
        <v>5.6</v>
      </c>
      <c r="K24" s="16">
        <v>6.5</v>
      </c>
      <c r="L24" s="16">
        <v>5</v>
      </c>
      <c r="M24" s="16">
        <v>3.5</v>
      </c>
      <c r="N24" s="16">
        <v>2.5</v>
      </c>
      <c r="O24" s="49"/>
      <c r="P24" s="79">
        <f t="shared" si="0"/>
        <v>32.35</v>
      </c>
      <c r="Q24" s="10"/>
      <c r="R24" s="10"/>
      <c r="S24" s="2"/>
      <c r="T24" s="2"/>
    </row>
    <row r="25" spans="1:20" ht="14.4">
      <c r="A25" s="10"/>
      <c r="B25" s="10" t="s">
        <v>45</v>
      </c>
      <c r="C25" s="34">
        <v>0.2</v>
      </c>
      <c r="D25" s="34"/>
      <c r="E25" s="34"/>
      <c r="F25" s="16">
        <v>0</v>
      </c>
      <c r="G25" s="16">
        <v>0</v>
      </c>
      <c r="H25" s="16">
        <v>1.5</v>
      </c>
      <c r="I25" s="16">
        <v>3.6</v>
      </c>
      <c r="J25" s="16">
        <v>5.6</v>
      </c>
      <c r="K25" s="16">
        <v>5.2</v>
      </c>
      <c r="L25" s="16">
        <v>4.5</v>
      </c>
      <c r="M25" s="16">
        <v>3.5</v>
      </c>
      <c r="N25" s="16">
        <v>2.5</v>
      </c>
      <c r="O25" s="49"/>
      <c r="P25" s="79">
        <f t="shared" si="0"/>
        <v>26.599999999999998</v>
      </c>
      <c r="Q25" s="10"/>
      <c r="R25" s="10"/>
      <c r="S25" s="2"/>
      <c r="T25" s="2"/>
    </row>
    <row r="26" spans="1:20" ht="14.4">
      <c r="A26" s="10"/>
      <c r="B26" s="10" t="s">
        <v>46</v>
      </c>
      <c r="C26" s="34">
        <f>SUM(C21:C25)</f>
        <v>1</v>
      </c>
      <c r="D26" s="34"/>
      <c r="E26" s="34"/>
      <c r="F26" s="18">
        <f t="shared" ref="F26:N26" si="1">($C21*F21)+($C22*F22)+($C23*F23)+($C24*F24)+($C25*F25)</f>
        <v>1.0049999999999999</v>
      </c>
      <c r="G26" s="18">
        <f t="shared" si="1"/>
        <v>2.2000000000000002</v>
      </c>
      <c r="H26" s="18">
        <f t="shared" si="1"/>
        <v>3.8849999999999998</v>
      </c>
      <c r="I26" s="18">
        <f t="shared" si="1"/>
        <v>5.05</v>
      </c>
      <c r="J26" s="18">
        <f t="shared" si="1"/>
        <v>6.32</v>
      </c>
      <c r="K26" s="18">
        <f t="shared" si="1"/>
        <v>6.2850000000000001</v>
      </c>
      <c r="L26" s="18">
        <f t="shared" si="1"/>
        <v>4.8250000000000002</v>
      </c>
      <c r="M26" s="18">
        <f t="shared" si="1"/>
        <v>3.41</v>
      </c>
      <c r="N26" s="18">
        <f t="shared" si="1"/>
        <v>2.4249999999999998</v>
      </c>
      <c r="O26" s="18"/>
      <c r="P26" s="79">
        <f t="shared" si="0"/>
        <v>36.405000000000001</v>
      </c>
      <c r="Q26" s="10"/>
      <c r="R26" s="10"/>
      <c r="S26" s="2"/>
      <c r="T26" s="2"/>
    </row>
    <row r="27" spans="1:20" ht="14.4">
      <c r="A27" s="10"/>
      <c r="B27" s="32"/>
      <c r="C27" s="33"/>
      <c r="D27" s="33"/>
      <c r="E27" s="33"/>
      <c r="F27" s="33"/>
      <c r="G27" s="33"/>
      <c r="H27" s="10"/>
      <c r="I27" s="10"/>
      <c r="J27" s="10"/>
      <c r="K27" s="10"/>
      <c r="L27" s="10"/>
      <c r="M27" s="10"/>
      <c r="N27" s="10"/>
      <c r="O27" s="10"/>
      <c r="P27" s="10"/>
      <c r="Q27" s="10"/>
      <c r="R27" s="10"/>
      <c r="S27" s="2"/>
      <c r="T27" s="2"/>
    </row>
    <row r="28" spans="1:20" ht="14.4">
      <c r="A28" s="10"/>
      <c r="B28" s="32" t="s">
        <v>47</v>
      </c>
      <c r="C28" s="33"/>
      <c r="D28" s="94" t="s">
        <v>332</v>
      </c>
      <c r="E28" s="94" t="s">
        <v>330</v>
      </c>
      <c r="F28" s="94" t="s">
        <v>32</v>
      </c>
      <c r="G28" s="94" t="s">
        <v>33</v>
      </c>
      <c r="H28" s="94" t="s">
        <v>34</v>
      </c>
      <c r="I28" s="94" t="s">
        <v>35</v>
      </c>
      <c r="J28" s="94" t="s">
        <v>36</v>
      </c>
      <c r="K28" s="94" t="s">
        <v>37</v>
      </c>
      <c r="L28" s="94" t="s">
        <v>38</v>
      </c>
      <c r="M28" s="94" t="s">
        <v>39</v>
      </c>
      <c r="N28" s="94" t="s">
        <v>40</v>
      </c>
      <c r="O28" s="94" t="s">
        <v>331</v>
      </c>
      <c r="P28" s="32" t="s">
        <v>48</v>
      </c>
      <c r="Q28" s="10"/>
      <c r="R28" s="10"/>
      <c r="S28" s="2"/>
      <c r="T28" s="2"/>
    </row>
    <row r="29" spans="1:20" ht="14.4">
      <c r="A29" s="10"/>
      <c r="B29" s="10" t="s">
        <v>49</v>
      </c>
      <c r="C29" s="10"/>
      <c r="D29" s="10"/>
      <c r="E29" s="10"/>
      <c r="F29" s="16">
        <v>30</v>
      </c>
      <c r="G29" s="16">
        <v>31</v>
      </c>
      <c r="H29" s="16">
        <v>30</v>
      </c>
      <c r="I29" s="16">
        <v>31</v>
      </c>
      <c r="J29" s="16">
        <v>31</v>
      </c>
      <c r="K29" s="16">
        <v>28</v>
      </c>
      <c r="L29" s="16">
        <v>31</v>
      </c>
      <c r="M29" s="16">
        <v>30</v>
      </c>
      <c r="N29" s="16">
        <v>31</v>
      </c>
      <c r="O29" s="49"/>
      <c r="P29" s="16">
        <f>SUM(F29:N29)</f>
        <v>273</v>
      </c>
      <c r="Q29" s="10"/>
      <c r="R29" s="10"/>
      <c r="S29" s="2"/>
      <c r="T29" s="2"/>
    </row>
    <row r="30" spans="1:20" ht="14.4">
      <c r="A30" s="10"/>
      <c r="B30" s="10" t="s">
        <v>50</v>
      </c>
      <c r="C30" s="14"/>
      <c r="D30" s="14"/>
      <c r="E30" s="14"/>
      <c r="F30" s="18">
        <f t="shared" ref="F30:N30" si="2">F26</f>
        <v>1.0049999999999999</v>
      </c>
      <c r="G30" s="18">
        <f t="shared" si="2"/>
        <v>2.2000000000000002</v>
      </c>
      <c r="H30" s="18">
        <f t="shared" si="2"/>
        <v>3.8849999999999998</v>
      </c>
      <c r="I30" s="18">
        <f t="shared" si="2"/>
        <v>5.05</v>
      </c>
      <c r="J30" s="18">
        <f t="shared" si="2"/>
        <v>6.32</v>
      </c>
      <c r="K30" s="18">
        <f t="shared" si="2"/>
        <v>6.2850000000000001</v>
      </c>
      <c r="L30" s="18">
        <f t="shared" si="2"/>
        <v>4.8250000000000002</v>
      </c>
      <c r="M30" s="18">
        <f t="shared" si="2"/>
        <v>3.41</v>
      </c>
      <c r="N30" s="18">
        <f t="shared" si="2"/>
        <v>2.4249999999999998</v>
      </c>
      <c r="O30" s="18"/>
      <c r="P30" s="18">
        <f>AVERAGE(F30:N30)</f>
        <v>3.9338888888888892</v>
      </c>
      <c r="Q30" s="10" t="s">
        <v>245</v>
      </c>
      <c r="R30" s="10"/>
      <c r="S30" s="2"/>
      <c r="T30" s="2"/>
    </row>
    <row r="31" spans="1:20" ht="14.4">
      <c r="A31" s="10"/>
      <c r="B31" s="10" t="s">
        <v>51</v>
      </c>
      <c r="C31" s="14"/>
      <c r="D31" s="14"/>
      <c r="E31" s="14"/>
      <c r="F31" s="15">
        <f t="shared" ref="F31:N31" si="3">F30*F29</f>
        <v>30.15</v>
      </c>
      <c r="G31" s="15">
        <f t="shared" si="3"/>
        <v>68.2</v>
      </c>
      <c r="H31" s="15">
        <f t="shared" si="3"/>
        <v>116.55</v>
      </c>
      <c r="I31" s="15">
        <f t="shared" si="3"/>
        <v>156.54999999999998</v>
      </c>
      <c r="J31" s="15">
        <f t="shared" si="3"/>
        <v>195.92000000000002</v>
      </c>
      <c r="K31" s="15">
        <f t="shared" si="3"/>
        <v>175.98000000000002</v>
      </c>
      <c r="L31" s="15">
        <f t="shared" si="3"/>
        <v>149.57500000000002</v>
      </c>
      <c r="M31" s="15">
        <f t="shared" si="3"/>
        <v>102.30000000000001</v>
      </c>
      <c r="N31" s="15">
        <f t="shared" si="3"/>
        <v>75.174999999999997</v>
      </c>
      <c r="O31" s="15"/>
      <c r="P31" s="15">
        <f>SUM(F31:N31)</f>
        <v>1070.3999999999999</v>
      </c>
      <c r="Q31" s="10"/>
      <c r="R31" s="10"/>
      <c r="S31" s="2"/>
      <c r="T31" s="2"/>
    </row>
    <row r="32" spans="1:20" ht="14.4">
      <c r="A32" s="10"/>
      <c r="B32" s="11"/>
      <c r="C32" s="10"/>
      <c r="D32" s="10"/>
      <c r="E32" s="10"/>
      <c r="F32" s="10"/>
      <c r="G32" s="10"/>
      <c r="H32" s="16"/>
      <c r="I32" s="16"/>
      <c r="J32" s="16"/>
      <c r="K32" s="16"/>
      <c r="L32" s="16"/>
      <c r="M32" s="16"/>
      <c r="N32" s="16"/>
      <c r="O32" s="49"/>
      <c r="P32" s="15"/>
      <c r="Q32" s="10"/>
      <c r="R32" s="10"/>
      <c r="S32" s="2"/>
      <c r="T32" s="2"/>
    </row>
    <row r="33" spans="1:20" ht="14.4">
      <c r="A33" s="10"/>
      <c r="B33" s="32" t="s">
        <v>52</v>
      </c>
      <c r="C33" s="33"/>
      <c r="D33" s="33"/>
      <c r="E33" s="33"/>
      <c r="F33" s="33"/>
      <c r="G33" s="10"/>
      <c r="H33" s="16"/>
      <c r="I33" s="16"/>
      <c r="J33" s="16"/>
      <c r="K33" s="16"/>
      <c r="L33" s="16"/>
      <c r="M33" s="16"/>
      <c r="N33" s="16"/>
      <c r="O33" s="49"/>
      <c r="P33" s="15"/>
      <c r="Q33" s="10"/>
      <c r="R33" s="10"/>
      <c r="S33" s="2"/>
      <c r="T33" s="2"/>
    </row>
    <row r="34" spans="1:20" ht="14.4">
      <c r="A34" s="10"/>
      <c r="B34" s="10" t="s">
        <v>53</v>
      </c>
      <c r="C34" s="14"/>
      <c r="D34" s="14"/>
      <c r="E34" s="14"/>
      <c r="F34" s="49">
        <v>35</v>
      </c>
      <c r="G34" s="28">
        <v>68</v>
      </c>
      <c r="H34" s="28">
        <v>83</v>
      </c>
      <c r="I34" s="28">
        <v>128</v>
      </c>
      <c r="J34" s="28">
        <v>175</v>
      </c>
      <c r="K34" s="28">
        <v>159</v>
      </c>
      <c r="L34" s="28">
        <v>114</v>
      </c>
      <c r="M34" s="28">
        <v>57.5</v>
      </c>
      <c r="N34" s="28">
        <v>69</v>
      </c>
      <c r="O34" s="28"/>
      <c r="P34" s="15">
        <f>SUM(F34:N34)</f>
        <v>888.5</v>
      </c>
      <c r="Q34" s="10"/>
      <c r="R34" s="10"/>
      <c r="S34" s="2"/>
      <c r="T34" s="2"/>
    </row>
    <row r="35" spans="1:20" ht="14.4">
      <c r="A35" s="10"/>
      <c r="B35" s="10" t="s">
        <v>54</v>
      </c>
      <c r="C35" s="14"/>
      <c r="D35" s="14"/>
      <c r="E35" s="14"/>
      <c r="F35" s="15">
        <f>F34*0.6</f>
        <v>21</v>
      </c>
      <c r="G35" s="15">
        <f>G34*0.6</f>
        <v>40.799999999999997</v>
      </c>
      <c r="H35" s="15">
        <f>H34*0.7</f>
        <v>58.099999999999994</v>
      </c>
      <c r="I35" s="15">
        <f>I34*0.7</f>
        <v>89.6</v>
      </c>
      <c r="J35" s="15">
        <f>J34*0.7</f>
        <v>122.49999999999999</v>
      </c>
      <c r="K35" s="15">
        <f>K34*0.8</f>
        <v>127.2</v>
      </c>
      <c r="L35" s="15">
        <f>L34*0.8</f>
        <v>91.2</v>
      </c>
      <c r="M35" s="15">
        <f>M34*0.9</f>
        <v>51.75</v>
      </c>
      <c r="N35" s="15">
        <f>N34*0.9</f>
        <v>62.1</v>
      </c>
      <c r="O35" s="15"/>
      <c r="P35" s="15">
        <f>SUM(F35:N35)</f>
        <v>664.25</v>
      </c>
      <c r="Q35" s="10"/>
      <c r="R35" s="10"/>
      <c r="S35" s="2"/>
      <c r="T35" s="2"/>
    </row>
    <row r="36" spans="1:20" ht="14.4">
      <c r="A36" s="10"/>
      <c r="B36" s="11"/>
      <c r="C36" s="10"/>
      <c r="D36" s="10"/>
      <c r="E36" s="10"/>
      <c r="F36" s="10"/>
      <c r="G36" s="10"/>
      <c r="H36" s="16"/>
      <c r="I36" s="16"/>
      <c r="J36" s="16"/>
      <c r="K36" s="16"/>
      <c r="L36" s="16"/>
      <c r="M36" s="16"/>
      <c r="N36" s="16"/>
      <c r="O36" s="49"/>
      <c r="P36" s="15"/>
      <c r="Q36" s="10"/>
      <c r="R36" s="10"/>
      <c r="S36" s="2"/>
      <c r="T36" s="2"/>
    </row>
    <row r="37" spans="1:20" ht="14.4">
      <c r="A37" s="10"/>
      <c r="B37" s="32" t="s">
        <v>55</v>
      </c>
      <c r="C37" s="33"/>
      <c r="D37" s="33"/>
      <c r="E37" s="33"/>
      <c r="F37" s="33"/>
      <c r="G37" s="10"/>
      <c r="H37" s="16"/>
      <c r="I37" s="16"/>
      <c r="J37" s="16"/>
      <c r="K37" s="16"/>
      <c r="L37" s="16"/>
      <c r="M37" s="16"/>
      <c r="N37" s="16"/>
      <c r="O37" s="49"/>
      <c r="P37" s="15"/>
      <c r="Q37" s="10"/>
      <c r="R37" s="10"/>
      <c r="S37" s="2"/>
      <c r="T37" s="2"/>
    </row>
    <row r="38" spans="1:20" ht="14.4">
      <c r="A38" s="10"/>
      <c r="B38" s="10" t="s">
        <v>56</v>
      </c>
      <c r="C38" s="14"/>
      <c r="D38" s="14"/>
      <c r="E38" s="14"/>
      <c r="F38" s="15">
        <f t="shared" ref="F38:N38" si="4">F31-F35</f>
        <v>9.1499999999999986</v>
      </c>
      <c r="G38" s="15">
        <f t="shared" si="4"/>
        <v>27.400000000000006</v>
      </c>
      <c r="H38" s="15">
        <f t="shared" si="4"/>
        <v>58.45</v>
      </c>
      <c r="I38" s="15">
        <f t="shared" si="4"/>
        <v>66.949999999999989</v>
      </c>
      <c r="J38" s="15">
        <f t="shared" si="4"/>
        <v>73.42000000000003</v>
      </c>
      <c r="K38" s="15">
        <f t="shared" si="4"/>
        <v>48.780000000000015</v>
      </c>
      <c r="L38" s="15">
        <f t="shared" si="4"/>
        <v>58.375000000000014</v>
      </c>
      <c r="M38" s="15">
        <f t="shared" si="4"/>
        <v>50.550000000000011</v>
      </c>
      <c r="N38" s="15">
        <f t="shared" si="4"/>
        <v>13.074999999999996</v>
      </c>
      <c r="O38" s="15"/>
      <c r="P38" s="15">
        <f>SUM(F38:N38)</f>
        <v>406.15000000000003</v>
      </c>
      <c r="Q38" s="10"/>
      <c r="R38" s="10"/>
      <c r="S38" s="2"/>
      <c r="T38" s="2"/>
    </row>
    <row r="39" spans="1:20" ht="14.4">
      <c r="A39" s="10"/>
      <c r="B39" s="10" t="s">
        <v>57</v>
      </c>
      <c r="C39" s="14"/>
      <c r="D39" s="14"/>
      <c r="E39" s="14"/>
      <c r="F39" s="15">
        <f t="shared" ref="F39:N39" si="5">F38/0.8</f>
        <v>11.437499999999998</v>
      </c>
      <c r="G39" s="15">
        <f t="shared" si="5"/>
        <v>34.250000000000007</v>
      </c>
      <c r="H39" s="15">
        <f t="shared" si="5"/>
        <v>73.0625</v>
      </c>
      <c r="I39" s="15">
        <f t="shared" si="5"/>
        <v>83.687499999999986</v>
      </c>
      <c r="J39" s="15">
        <f t="shared" si="5"/>
        <v>91.775000000000034</v>
      </c>
      <c r="K39" s="15">
        <f t="shared" si="5"/>
        <v>60.975000000000016</v>
      </c>
      <c r="L39" s="15">
        <f t="shared" si="5"/>
        <v>72.968750000000014</v>
      </c>
      <c r="M39" s="15">
        <f t="shared" si="5"/>
        <v>63.187500000000014</v>
      </c>
      <c r="N39" s="15">
        <f t="shared" si="5"/>
        <v>16.343749999999993</v>
      </c>
      <c r="O39" s="15"/>
      <c r="P39" s="15">
        <f>SUM(F39:N39)</f>
        <v>507.68750000000006</v>
      </c>
      <c r="Q39" s="10"/>
      <c r="R39" s="10"/>
      <c r="S39" s="2"/>
      <c r="T39" s="2"/>
    </row>
    <row r="40" spans="1:20" ht="14.4">
      <c r="A40" s="10"/>
      <c r="B40" s="10"/>
      <c r="C40" s="14"/>
      <c r="D40" s="14"/>
      <c r="E40" s="14"/>
      <c r="F40" s="15"/>
      <c r="G40" s="15"/>
      <c r="H40" s="15"/>
      <c r="I40" s="15"/>
      <c r="J40" s="15"/>
      <c r="K40" s="15"/>
      <c r="L40" s="15"/>
      <c r="M40" s="15"/>
      <c r="N40" s="15"/>
      <c r="O40" s="15"/>
      <c r="P40" s="15"/>
      <c r="Q40" s="10"/>
      <c r="R40" s="10"/>
      <c r="S40" s="2"/>
      <c r="T40" s="2"/>
    </row>
    <row r="41" spans="1:20" ht="14.4">
      <c r="A41" s="10"/>
      <c r="B41" s="52"/>
      <c r="C41" s="52"/>
      <c r="D41" s="52"/>
      <c r="E41" s="52"/>
      <c r="F41" s="52"/>
      <c r="G41" s="52"/>
      <c r="H41" s="52"/>
      <c r="I41" s="52"/>
      <c r="J41" s="52"/>
      <c r="K41" s="52"/>
      <c r="L41" s="52"/>
      <c r="M41" s="52"/>
      <c r="N41" s="52"/>
      <c r="O41" s="52"/>
      <c r="P41" s="52"/>
      <c r="Q41" s="10"/>
      <c r="R41" s="10"/>
      <c r="S41" s="2"/>
      <c r="T41" s="2"/>
    </row>
    <row r="42" spans="1:20" ht="14.4">
      <c r="A42" s="10"/>
      <c r="B42" s="15"/>
      <c r="C42" s="15"/>
      <c r="D42" s="15"/>
      <c r="E42" s="15"/>
      <c r="F42" s="15"/>
      <c r="G42" s="15"/>
      <c r="H42" s="15"/>
      <c r="I42" s="15"/>
      <c r="J42" s="15"/>
      <c r="K42" s="15"/>
      <c r="L42" s="15"/>
      <c r="M42" s="15"/>
      <c r="N42" s="15"/>
      <c r="O42" s="15"/>
      <c r="P42" s="15"/>
      <c r="Q42" s="15"/>
      <c r="R42" s="10"/>
      <c r="S42" s="15"/>
      <c r="T42" s="15"/>
    </row>
    <row r="43" spans="1:20" ht="14.4">
      <c r="A43" s="10"/>
      <c r="B43" s="15"/>
      <c r="C43" s="15"/>
      <c r="D43" s="15"/>
      <c r="E43" s="15"/>
      <c r="F43" s="15"/>
      <c r="G43" s="15"/>
      <c r="H43" s="15"/>
      <c r="I43" s="15"/>
      <c r="J43" s="15"/>
      <c r="K43" s="15"/>
      <c r="L43" s="15"/>
      <c r="M43" s="15"/>
      <c r="N43" s="15"/>
      <c r="O43" s="15"/>
      <c r="P43" s="15"/>
      <c r="Q43" s="15"/>
      <c r="R43" s="10"/>
      <c r="S43" s="15"/>
      <c r="T43" s="15"/>
    </row>
    <row r="44" spans="1:20" ht="14.4">
      <c r="A44" s="10"/>
      <c r="B44" s="13"/>
      <c r="C44" s="22"/>
      <c r="D44" s="22"/>
      <c r="E44" s="22"/>
      <c r="F44" s="15"/>
      <c r="G44" s="15"/>
      <c r="H44" s="15"/>
      <c r="I44" s="15"/>
      <c r="J44" s="15"/>
      <c r="K44" s="15"/>
      <c r="L44" s="15"/>
      <c r="M44" s="15"/>
      <c r="N44" s="15"/>
      <c r="O44" s="15"/>
      <c r="P44" s="38"/>
      <c r="Q44" s="15"/>
      <c r="R44" s="10"/>
      <c r="S44" s="15"/>
      <c r="T44" s="15"/>
    </row>
    <row r="45" spans="1:20" ht="14.4">
      <c r="A45" s="10"/>
      <c r="B45" s="13"/>
      <c r="C45" s="22"/>
      <c r="D45" s="22"/>
      <c r="E45" s="22"/>
      <c r="F45" s="15"/>
      <c r="G45" s="15"/>
      <c r="H45" s="15"/>
      <c r="I45" s="15"/>
      <c r="J45" s="15"/>
      <c r="K45" s="15"/>
      <c r="L45" s="15"/>
      <c r="M45" s="15"/>
      <c r="N45" s="15"/>
      <c r="O45" s="15"/>
      <c r="P45" s="15"/>
      <c r="Q45" s="10"/>
      <c r="R45" s="10"/>
      <c r="S45" s="15"/>
      <c r="T45" s="15"/>
    </row>
    <row r="46" spans="1:20" ht="14.4">
      <c r="A46" s="10"/>
      <c r="B46" s="13"/>
      <c r="C46" s="22"/>
      <c r="D46" s="22"/>
      <c r="E46" s="22"/>
      <c r="F46" s="15"/>
      <c r="G46" s="15"/>
      <c r="H46" s="15"/>
      <c r="I46" s="15"/>
      <c r="J46" s="15"/>
      <c r="K46" s="15"/>
      <c r="L46" s="15"/>
      <c r="M46" s="15"/>
      <c r="N46" s="15"/>
      <c r="O46" s="15"/>
      <c r="P46" s="15"/>
      <c r="Q46" s="10"/>
      <c r="R46" s="10"/>
      <c r="S46" s="15"/>
      <c r="T46" s="15"/>
    </row>
    <row r="47" spans="1:20" ht="14.4">
      <c r="A47" s="10"/>
      <c r="B47" s="13"/>
      <c r="C47" s="22"/>
      <c r="D47" s="22"/>
      <c r="E47" s="22"/>
      <c r="F47" s="15"/>
      <c r="G47" s="15"/>
      <c r="H47" s="15"/>
      <c r="I47" s="15"/>
      <c r="J47" s="15"/>
      <c r="K47" s="15"/>
      <c r="L47" s="15"/>
      <c r="M47" s="15"/>
      <c r="N47" s="15"/>
      <c r="O47" s="15"/>
      <c r="P47" s="15"/>
      <c r="Q47" s="10"/>
      <c r="R47" s="10"/>
      <c r="S47" s="15"/>
      <c r="T47" s="15"/>
    </row>
    <row r="48" spans="1:20" ht="14.4">
      <c r="A48" s="10"/>
      <c r="B48" s="13"/>
      <c r="C48" s="22"/>
      <c r="D48" s="22"/>
      <c r="E48" s="22"/>
      <c r="F48" s="15"/>
      <c r="G48" s="15"/>
      <c r="H48" s="15"/>
      <c r="I48" s="15"/>
      <c r="J48" s="15"/>
      <c r="K48" s="15"/>
      <c r="L48" s="15"/>
      <c r="M48" s="15"/>
      <c r="N48" s="15"/>
      <c r="O48" s="15"/>
      <c r="P48" s="15"/>
      <c r="Q48" s="10"/>
      <c r="R48" s="10"/>
      <c r="S48" s="15"/>
      <c r="T48" s="15"/>
    </row>
    <row r="49" spans="1:20" ht="14.4">
      <c r="A49" s="10"/>
      <c r="B49" s="13"/>
      <c r="C49" s="22"/>
      <c r="D49" s="22"/>
      <c r="E49" s="22"/>
      <c r="F49" s="15"/>
      <c r="G49" s="15"/>
      <c r="H49" s="15"/>
      <c r="I49" s="15"/>
      <c r="J49" s="15"/>
      <c r="K49" s="15"/>
      <c r="L49" s="15"/>
      <c r="M49" s="15"/>
      <c r="N49" s="15"/>
      <c r="O49" s="15"/>
      <c r="P49" s="15"/>
      <c r="Q49" s="10"/>
      <c r="R49" s="10"/>
      <c r="S49" s="15"/>
      <c r="T49" s="15"/>
    </row>
    <row r="50" spans="1:20" ht="14.4">
      <c r="A50" s="10"/>
      <c r="B50" s="13"/>
      <c r="C50" s="22"/>
      <c r="D50" s="22"/>
      <c r="E50" s="22"/>
      <c r="F50" s="15"/>
      <c r="G50" s="15"/>
      <c r="H50" s="15"/>
      <c r="I50" s="15"/>
      <c r="J50" s="15"/>
      <c r="K50" s="15"/>
      <c r="L50" s="15"/>
      <c r="M50" s="15"/>
      <c r="N50" s="15"/>
      <c r="O50" s="15"/>
      <c r="P50" s="15"/>
      <c r="Q50" s="10"/>
      <c r="R50" s="10"/>
      <c r="S50" s="15"/>
      <c r="T50" s="15"/>
    </row>
    <row r="51" spans="1:20" ht="14.4">
      <c r="A51" s="10"/>
      <c r="B51" s="11"/>
      <c r="C51" s="14"/>
      <c r="D51" s="14"/>
      <c r="E51" s="14"/>
      <c r="F51" s="15"/>
      <c r="G51" s="15"/>
      <c r="H51" s="15"/>
      <c r="I51" s="15"/>
      <c r="J51" s="15"/>
      <c r="K51" s="15"/>
      <c r="L51" s="15"/>
      <c r="M51" s="15"/>
      <c r="N51" s="15"/>
      <c r="O51" s="15"/>
      <c r="P51" s="15"/>
      <c r="Q51" s="10"/>
      <c r="R51" s="10"/>
      <c r="S51" s="15"/>
      <c r="T51" s="15"/>
    </row>
    <row r="52" spans="1:20" ht="14.4">
      <c r="A52" s="10"/>
      <c r="B52" s="13"/>
      <c r="C52" s="13"/>
      <c r="D52" s="13"/>
      <c r="E52" s="13"/>
      <c r="F52" s="13"/>
      <c r="G52" s="13"/>
      <c r="H52" s="13"/>
      <c r="I52" s="13"/>
      <c r="J52" s="13"/>
      <c r="K52" s="13"/>
      <c r="L52" s="13"/>
      <c r="M52" s="13"/>
      <c r="N52" s="13"/>
      <c r="O52" s="13"/>
      <c r="P52" s="13"/>
      <c r="Q52" s="10"/>
      <c r="R52" s="10"/>
      <c r="S52" s="2"/>
      <c r="T52" s="2"/>
    </row>
    <row r="53" spans="1:20" ht="14.4">
      <c r="A53" s="10"/>
      <c r="B53" s="13"/>
      <c r="C53" s="13"/>
      <c r="D53" s="13"/>
      <c r="E53" s="13"/>
      <c r="F53" s="13"/>
      <c r="G53" s="13"/>
      <c r="H53" s="13"/>
      <c r="I53" s="13"/>
      <c r="J53" s="13"/>
      <c r="K53" s="13"/>
      <c r="L53" s="13"/>
      <c r="M53" s="13"/>
      <c r="N53" s="13"/>
      <c r="O53" s="13"/>
      <c r="P53" s="13"/>
      <c r="Q53" s="10"/>
      <c r="R53" s="10"/>
      <c r="S53" s="2"/>
      <c r="T53" s="2"/>
    </row>
    <row r="54" spans="1:20" ht="14.4">
      <c r="A54" s="10"/>
      <c r="B54" s="37"/>
      <c r="C54" s="23"/>
      <c r="D54" s="23"/>
      <c r="E54" s="23"/>
      <c r="F54" s="15"/>
      <c r="G54" s="15"/>
      <c r="H54" s="15"/>
      <c r="I54" s="15"/>
      <c r="J54" s="15"/>
      <c r="K54" s="15"/>
      <c r="L54" s="15"/>
      <c r="M54" s="15"/>
      <c r="N54" s="15"/>
      <c r="O54" s="15"/>
      <c r="P54" s="15"/>
      <c r="Q54" s="10"/>
      <c r="R54" s="10"/>
      <c r="S54" s="2"/>
      <c r="T54" s="2"/>
    </row>
    <row r="55" spans="1:20" ht="14.4">
      <c r="A55" s="10"/>
      <c r="B55" s="37"/>
      <c r="C55" s="23"/>
      <c r="D55" s="23"/>
      <c r="E55" s="23"/>
      <c r="F55" s="35"/>
      <c r="G55" s="15"/>
      <c r="H55" s="15"/>
      <c r="I55" s="15"/>
      <c r="J55" s="15"/>
      <c r="K55" s="15"/>
      <c r="L55" s="15"/>
      <c r="M55" s="15"/>
      <c r="N55" s="15"/>
      <c r="O55" s="15"/>
      <c r="P55" s="24"/>
      <c r="Q55" s="10"/>
      <c r="R55" s="10"/>
      <c r="S55" s="2"/>
      <c r="T55" s="2"/>
    </row>
    <row r="56" spans="1:20">
      <c r="A56" s="10"/>
      <c r="Q56" s="10"/>
      <c r="R56" s="10"/>
      <c r="S56" s="2"/>
      <c r="T56" s="2"/>
    </row>
    <row r="57" spans="1:20">
      <c r="A57" s="10"/>
      <c r="C57" s="16"/>
      <c r="D57" s="49"/>
      <c r="E57" s="49"/>
      <c r="F57" s="16"/>
      <c r="G57" s="16"/>
      <c r="J57" s="16"/>
      <c r="K57" s="18"/>
      <c r="L57" s="16"/>
      <c r="M57" s="18"/>
      <c r="N57" s="16"/>
      <c r="O57" s="49"/>
      <c r="P57" s="19"/>
      <c r="S57" s="2"/>
      <c r="T57" s="2"/>
    </row>
    <row r="58" spans="1:20">
      <c r="A58" s="10"/>
      <c r="C58" s="21"/>
      <c r="D58" s="21"/>
      <c r="E58" s="21"/>
      <c r="F58" s="16"/>
      <c r="G58" s="16"/>
      <c r="J58" s="16"/>
      <c r="K58" s="18"/>
      <c r="L58" s="10"/>
      <c r="M58" s="18"/>
      <c r="N58" s="10"/>
      <c r="O58" s="10"/>
      <c r="P58" s="19"/>
      <c r="Q58" s="20"/>
      <c r="R58" s="10"/>
      <c r="S58" s="2"/>
      <c r="T58" s="2"/>
    </row>
    <row r="59" spans="1:20">
      <c r="A59" s="10"/>
      <c r="C59" s="16"/>
      <c r="D59" s="49"/>
      <c r="E59" s="49"/>
      <c r="F59" s="16"/>
      <c r="G59" s="16"/>
      <c r="J59" s="16"/>
      <c r="K59" s="18"/>
      <c r="L59" s="16"/>
      <c r="M59" s="18"/>
      <c r="N59" s="18"/>
      <c r="O59" s="18"/>
      <c r="P59" s="19"/>
      <c r="Q59" s="20"/>
      <c r="R59" s="10"/>
      <c r="S59" s="2"/>
      <c r="T59" s="2"/>
    </row>
    <row r="60" spans="1:20">
      <c r="A60" s="10"/>
      <c r="C60" s="27"/>
      <c r="D60" s="27"/>
      <c r="E60" s="27"/>
      <c r="F60" s="26"/>
      <c r="G60" s="26"/>
      <c r="H60" s="26"/>
      <c r="I60" s="26"/>
      <c r="J60" s="26"/>
      <c r="K60" s="26"/>
      <c r="L60" s="26"/>
      <c r="M60" s="26"/>
      <c r="N60" s="26"/>
      <c r="O60" s="26"/>
      <c r="P60" s="26"/>
      <c r="Q60" s="20"/>
      <c r="R60" s="10"/>
      <c r="S60" s="2"/>
      <c r="T60" s="2"/>
    </row>
    <row r="61" spans="1:20">
      <c r="A61" s="26"/>
      <c r="Q61" s="26"/>
      <c r="R61" s="26"/>
    </row>
    <row r="62" spans="1:20">
      <c r="B62" s="36"/>
    </row>
    <row r="63" spans="1:20">
      <c r="B63" s="36"/>
    </row>
    <row r="64" spans="1:20">
      <c r="B64" s="36"/>
    </row>
    <row r="65" spans="2:2">
      <c r="B65" s="36"/>
    </row>
    <row r="66" spans="2:2">
      <c r="B66" s="36"/>
    </row>
    <row r="67" spans="2:2">
      <c r="B67" s="36"/>
    </row>
    <row r="68" spans="2:2">
      <c r="B68" s="36"/>
    </row>
  </sheetData>
  <sheetProtection password="CA47" sheet="1" objects="1" scenarios="1"/>
  <pageMargins left="0.7" right="0.7" top="0.75" bottom="0.75" header="0.3" footer="0.3"/>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sheetPr codeName="Sheet4"/>
  <dimension ref="A1:R72"/>
  <sheetViews>
    <sheetView workbookViewId="0">
      <selection activeCell="E12" sqref="E12"/>
    </sheetView>
  </sheetViews>
  <sheetFormatPr defaultRowHeight="14.4"/>
  <cols>
    <col min="1" max="1" width="5.109375" customWidth="1"/>
    <col min="2" max="2" width="10.44140625" customWidth="1"/>
    <col min="3" max="3" width="45.6640625" customWidth="1"/>
    <col min="4" max="4" width="10.33203125" customWidth="1"/>
    <col min="6" max="6" width="13.6640625" customWidth="1"/>
    <col min="8" max="8" width="10.5546875" customWidth="1"/>
    <col min="9" max="9" width="12.44140625" customWidth="1"/>
    <col min="10" max="10" width="10.6640625" customWidth="1"/>
    <col min="11" max="11" width="9.88671875" customWidth="1"/>
  </cols>
  <sheetData>
    <row r="1" spans="1:18" ht="18">
      <c r="A1" s="70" t="s">
        <v>81</v>
      </c>
    </row>
    <row r="2" spans="1:18">
      <c r="B2" t="s">
        <v>563</v>
      </c>
    </row>
    <row r="3" spans="1:18" ht="15" thickBot="1">
      <c r="B3" s="51"/>
      <c r="C3" s="51"/>
    </row>
    <row r="4" spans="1:18" ht="43.95" customHeight="1">
      <c r="B4" s="156" t="s">
        <v>542</v>
      </c>
      <c r="C4" s="157" t="s">
        <v>295</v>
      </c>
      <c r="D4" s="158" t="s">
        <v>25</v>
      </c>
      <c r="E4" s="158" t="s">
        <v>26</v>
      </c>
      <c r="F4" s="159" t="s">
        <v>27</v>
      </c>
      <c r="G4" s="51"/>
    </row>
    <row r="5" spans="1:18" ht="15" thickBot="1">
      <c r="B5" s="160"/>
      <c r="C5" s="161"/>
      <c r="D5" s="162" t="s">
        <v>24</v>
      </c>
      <c r="E5" s="162" t="s">
        <v>24</v>
      </c>
      <c r="F5" s="163" t="s">
        <v>97</v>
      </c>
      <c r="G5" s="72" t="s">
        <v>96</v>
      </c>
    </row>
    <row r="6" spans="1:18" ht="28.95" customHeight="1">
      <c r="B6" s="164" t="s">
        <v>3</v>
      </c>
      <c r="C6" s="165" t="s">
        <v>172</v>
      </c>
      <c r="D6" s="166">
        <f>47.258</f>
        <v>47.258000000000003</v>
      </c>
      <c r="E6" s="166">
        <f>23.303</f>
        <v>23.303000000000001</v>
      </c>
      <c r="F6" s="167">
        <f>127.879</f>
        <v>127.879</v>
      </c>
      <c r="G6" s="200" t="s">
        <v>507</v>
      </c>
      <c r="H6" s="201"/>
      <c r="I6" s="201"/>
      <c r="J6" s="201"/>
      <c r="K6" s="201"/>
      <c r="L6" s="201"/>
      <c r="M6" s="201"/>
      <c r="N6" s="90"/>
      <c r="O6" s="90"/>
      <c r="P6" s="90"/>
      <c r="Q6" s="90"/>
      <c r="R6" s="90"/>
    </row>
    <row r="7" spans="1:18" ht="28.8">
      <c r="B7" s="168" t="s">
        <v>4</v>
      </c>
      <c r="C7" s="169" t="s">
        <v>173</v>
      </c>
      <c r="D7" s="170">
        <f>44.259</f>
        <v>44.259</v>
      </c>
      <c r="E7" s="170">
        <f>15.65</f>
        <v>15.65</v>
      </c>
      <c r="F7" s="171">
        <f>74.644</f>
        <v>74.644000000000005</v>
      </c>
      <c r="G7" s="130" t="s">
        <v>482</v>
      </c>
    </row>
    <row r="8" spans="1:18">
      <c r="B8" s="172"/>
      <c r="C8" s="173" t="s">
        <v>174</v>
      </c>
      <c r="D8" s="174">
        <f>37.427</f>
        <v>37.427</v>
      </c>
      <c r="E8" s="174"/>
      <c r="F8" s="175"/>
      <c r="G8" s="92"/>
    </row>
    <row r="9" spans="1:18" ht="60" customHeight="1">
      <c r="B9" s="176" t="s">
        <v>5</v>
      </c>
      <c r="C9" s="173" t="s">
        <v>28</v>
      </c>
      <c r="D9" s="177">
        <f>35.305</f>
        <v>35.305</v>
      </c>
      <c r="E9" s="174">
        <f>19.446</f>
        <v>19.446000000000002</v>
      </c>
      <c r="F9" s="175">
        <f>74.644</f>
        <v>74.644000000000005</v>
      </c>
      <c r="G9" s="92"/>
      <c r="L9" s="7"/>
    </row>
    <row r="10" spans="1:18" ht="28.8">
      <c r="B10" s="168" t="s">
        <v>6</v>
      </c>
      <c r="C10" s="178" t="s">
        <v>175</v>
      </c>
      <c r="D10" s="178" t="s">
        <v>248</v>
      </c>
      <c r="E10" s="170"/>
      <c r="F10" s="179" t="s">
        <v>250</v>
      </c>
      <c r="G10" s="131" t="s">
        <v>29</v>
      </c>
    </row>
    <row r="11" spans="1:18">
      <c r="B11" s="180"/>
      <c r="C11" s="169" t="s">
        <v>247</v>
      </c>
      <c r="D11" s="170">
        <f>35.888</f>
        <v>35.887999999999998</v>
      </c>
      <c r="E11" s="170"/>
      <c r="F11" s="171">
        <f>164.512</f>
        <v>164.512</v>
      </c>
    </row>
    <row r="12" spans="1:18">
      <c r="B12" s="180"/>
      <c r="C12" s="169" t="s">
        <v>246</v>
      </c>
      <c r="D12" s="170">
        <f>107.903</f>
        <v>107.90300000000001</v>
      </c>
      <c r="E12" s="170"/>
      <c r="F12" s="171"/>
      <c r="I12" s="26"/>
      <c r="J12" s="26"/>
    </row>
    <row r="13" spans="1:18" ht="15" thickBot="1">
      <c r="B13" s="181"/>
      <c r="C13" s="182" t="s">
        <v>30</v>
      </c>
      <c r="D13" s="161">
        <f>18.505</f>
        <v>18.504999999999999</v>
      </c>
      <c r="E13" s="161"/>
      <c r="F13" s="183"/>
    </row>
    <row r="14" spans="1:18" ht="15" thickBot="1">
      <c r="B14" s="181" t="s">
        <v>110</v>
      </c>
      <c r="C14" s="184" t="s">
        <v>30</v>
      </c>
      <c r="D14" s="161">
        <f>25.968</f>
        <v>25.968</v>
      </c>
      <c r="E14" s="161"/>
      <c r="F14" s="183">
        <f>127.879</f>
        <v>127.879</v>
      </c>
    </row>
    <row r="15" spans="1:18" ht="60" customHeight="1">
      <c r="B15" s="185" t="s">
        <v>322</v>
      </c>
      <c r="C15" s="186" t="s">
        <v>489</v>
      </c>
      <c r="D15" s="187">
        <v>84.804000000000002</v>
      </c>
      <c r="E15" s="187">
        <v>13.935</v>
      </c>
      <c r="F15" s="188">
        <v>78.046000000000006</v>
      </c>
      <c r="G15" s="200" t="s">
        <v>509</v>
      </c>
      <c r="H15" s="201"/>
      <c r="I15" s="201"/>
      <c r="J15" s="201"/>
      <c r="K15" s="201"/>
      <c r="L15" s="201"/>
      <c r="M15" s="201"/>
      <c r="N15" s="201"/>
      <c r="O15" s="201"/>
      <c r="P15" s="201"/>
      <c r="Q15" s="201"/>
      <c r="R15" s="201"/>
    </row>
    <row r="16" spans="1:18" ht="15" customHeight="1">
      <c r="B16" s="180"/>
      <c r="C16" s="186"/>
      <c r="D16" s="203" t="s">
        <v>323</v>
      </c>
      <c r="E16" s="203"/>
      <c r="F16" s="171"/>
    </row>
    <row r="17" spans="2:14" ht="14.4" customHeight="1" thickBot="1">
      <c r="B17" s="181"/>
      <c r="C17" s="186" t="s">
        <v>30</v>
      </c>
      <c r="D17" s="170">
        <v>16.298999999999999</v>
      </c>
      <c r="E17" s="170"/>
      <c r="F17" s="183"/>
    </row>
    <row r="18" spans="2:14" ht="43.8" thickBot="1">
      <c r="B18" s="189" t="s">
        <v>279</v>
      </c>
      <c r="C18" s="190" t="s">
        <v>280</v>
      </c>
      <c r="D18" s="191">
        <f>19.96</f>
        <v>19.96</v>
      </c>
      <c r="E18" s="192"/>
      <c r="F18" s="193">
        <f>F6</f>
        <v>127.879</v>
      </c>
      <c r="G18" s="200" t="s">
        <v>296</v>
      </c>
      <c r="H18" s="197"/>
      <c r="I18" s="197"/>
      <c r="J18" s="197"/>
      <c r="K18" s="197"/>
      <c r="L18" s="197"/>
      <c r="M18" s="197"/>
      <c r="N18" s="197"/>
    </row>
    <row r="19" spans="2:14">
      <c r="B19" s="93"/>
      <c r="C19" s="91"/>
      <c r="D19" s="26"/>
      <c r="E19" s="26"/>
      <c r="F19" s="26"/>
    </row>
    <row r="20" spans="2:14">
      <c r="B20" s="93"/>
      <c r="C20" s="91"/>
      <c r="D20" s="26"/>
      <c r="E20" s="26"/>
      <c r="F20" s="26"/>
    </row>
    <row r="21" spans="2:14">
      <c r="B21" s="60"/>
      <c r="C21" s="94" t="s">
        <v>70</v>
      </c>
      <c r="D21" s="48" t="s">
        <v>212</v>
      </c>
      <c r="E21" s="64" t="s">
        <v>211</v>
      </c>
      <c r="N21" s="7"/>
    </row>
    <row r="22" spans="2:14">
      <c r="B22" s="51" t="str">
        <f>B6</f>
        <v>Tariff 22A</v>
      </c>
      <c r="C22" s="95">
        <f>Tariffs!F6*365/100</f>
        <v>466.75835000000001</v>
      </c>
      <c r="D22" s="40">
        <f>C22/9</f>
        <v>51.86203888888889</v>
      </c>
      <c r="E22" s="39" t="s">
        <v>249</v>
      </c>
      <c r="F22" s="41"/>
      <c r="G22" s="39"/>
      <c r="H22" s="41"/>
      <c r="I22" s="41"/>
      <c r="J22" s="41"/>
      <c r="K22" s="41"/>
      <c r="L22" s="39"/>
      <c r="M22" s="41"/>
      <c r="N22" s="7"/>
    </row>
    <row r="23" spans="2:14">
      <c r="B23" s="51" t="str">
        <f>B7</f>
        <v>Tariff 62</v>
      </c>
      <c r="C23" s="95">
        <f>Tariffs!F7*365/100</f>
        <v>272.45060000000001</v>
      </c>
      <c r="D23" s="40">
        <f t="shared" ref="D23:D26" si="0">C23/9</f>
        <v>30.272288888888891</v>
      </c>
      <c r="E23" s="39" t="s">
        <v>249</v>
      </c>
      <c r="F23" s="41"/>
      <c r="G23" s="39"/>
      <c r="H23" s="41"/>
      <c r="I23" s="41"/>
      <c r="J23" s="41"/>
      <c r="K23" s="41"/>
      <c r="L23" s="39"/>
      <c r="M23" s="41"/>
    </row>
    <row r="24" spans="2:14">
      <c r="B24" s="51" t="str">
        <f>B9</f>
        <v>Tariff 65</v>
      </c>
      <c r="C24" s="95">
        <f>Tariffs!F7*365/100</f>
        <v>272.45060000000001</v>
      </c>
      <c r="D24" s="40">
        <f t="shared" si="0"/>
        <v>30.272288888888891</v>
      </c>
      <c r="E24" s="39" t="s">
        <v>249</v>
      </c>
      <c r="F24" s="7"/>
      <c r="G24" s="7"/>
      <c r="H24" s="7"/>
      <c r="I24" s="7"/>
      <c r="J24" s="7"/>
      <c r="K24" s="7"/>
      <c r="L24" s="7"/>
    </row>
    <row r="25" spans="2:14">
      <c r="B25" s="51" t="str">
        <f>B10</f>
        <v>Tariff 66</v>
      </c>
      <c r="C25" s="95">
        <f>(Tariffs!F11*365/100) + ((7.5*Tariffs!D11)+(('Water and power req'!$C$10-7.5)*Tariffs!D12))</f>
        <v>4376.4763000000003</v>
      </c>
      <c r="D25" s="40">
        <f>((9/12*C25)+(3/12*C23))/9</f>
        <v>372.27443055555557</v>
      </c>
      <c r="E25" s="6" t="s">
        <v>309</v>
      </c>
    </row>
    <row r="26" spans="2:14">
      <c r="B26" s="51" t="s">
        <v>110</v>
      </c>
      <c r="C26" s="96">
        <f>$F$14*365/100</f>
        <v>466.75835000000001</v>
      </c>
      <c r="D26" s="40">
        <f t="shared" si="0"/>
        <v>51.86203888888889</v>
      </c>
      <c r="E26" s="6" t="s">
        <v>249</v>
      </c>
    </row>
    <row r="27" spans="2:14">
      <c r="B27" s="111" t="s">
        <v>322</v>
      </c>
      <c r="C27" s="96">
        <f>$F$15*365/100</f>
        <v>284.86790000000002</v>
      </c>
      <c r="D27" s="40">
        <f>C27/9</f>
        <v>31.651988888888891</v>
      </c>
      <c r="E27" s="6" t="s">
        <v>249</v>
      </c>
    </row>
    <row r="28" spans="2:14">
      <c r="B28" s="51" t="s">
        <v>279</v>
      </c>
      <c r="C28" s="96">
        <f>C22</f>
        <v>466.75835000000001</v>
      </c>
      <c r="D28" s="40">
        <f>C28/9</f>
        <v>51.86203888888889</v>
      </c>
      <c r="E28" s="6" t="s">
        <v>281</v>
      </c>
    </row>
    <row r="30" spans="2:14">
      <c r="B30" s="51" t="s">
        <v>251</v>
      </c>
    </row>
    <row r="31" spans="2:14" ht="27" customHeight="1">
      <c r="B31" s="202" t="s">
        <v>252</v>
      </c>
      <c r="C31" s="202"/>
      <c r="D31" s="202"/>
      <c r="E31" s="202"/>
      <c r="F31" s="202"/>
      <c r="G31" s="202"/>
      <c r="H31" s="39"/>
      <c r="I31" s="39"/>
      <c r="J31" s="39"/>
      <c r="K31" s="39"/>
      <c r="L31" s="39"/>
      <c r="M31" s="39"/>
    </row>
    <row r="32" spans="2:14" ht="32.4" customHeight="1">
      <c r="B32" s="202" t="s">
        <v>253</v>
      </c>
      <c r="C32" s="202"/>
      <c r="D32" s="202"/>
      <c r="E32" s="202"/>
      <c r="F32" s="202"/>
      <c r="G32" s="202"/>
      <c r="H32" s="202"/>
      <c r="I32" s="202"/>
      <c r="J32" s="39"/>
      <c r="K32" s="39"/>
      <c r="L32" s="39"/>
      <c r="M32" s="39"/>
    </row>
    <row r="33" spans="2:14">
      <c r="B33" s="39"/>
      <c r="C33" s="39"/>
      <c r="D33" s="39"/>
      <c r="E33" s="39"/>
      <c r="F33" s="39"/>
      <c r="G33" s="39"/>
      <c r="H33" s="39"/>
      <c r="I33" s="39"/>
      <c r="J33" s="39"/>
      <c r="K33" s="39"/>
      <c r="L33" s="39"/>
      <c r="M33" s="39"/>
    </row>
    <row r="34" spans="2:14" ht="40.200000000000003" customHeight="1">
      <c r="B34" s="64" t="s">
        <v>125</v>
      </c>
      <c r="C34" s="51" t="s">
        <v>124</v>
      </c>
      <c r="D34" s="39"/>
      <c r="E34" s="39"/>
      <c r="F34" s="39"/>
      <c r="G34" s="39"/>
      <c r="H34" s="39"/>
      <c r="I34" s="39"/>
      <c r="J34" s="39"/>
      <c r="K34" s="39"/>
      <c r="L34" s="39"/>
      <c r="M34" s="39"/>
    </row>
    <row r="35" spans="2:14">
      <c r="B35" s="39" t="s">
        <v>118</v>
      </c>
      <c r="C35" s="39" t="s">
        <v>121</v>
      </c>
      <c r="D35" s="39"/>
      <c r="E35" s="39"/>
      <c r="F35" s="39"/>
      <c r="G35" s="39"/>
      <c r="H35" s="39"/>
      <c r="I35" s="39"/>
      <c r="J35" s="39"/>
      <c r="K35" s="39"/>
      <c r="L35" s="39"/>
      <c r="M35" s="39"/>
    </row>
    <row r="36" spans="2:14">
      <c r="B36" s="39" t="s">
        <v>119</v>
      </c>
      <c r="C36" s="39" t="s">
        <v>122</v>
      </c>
      <c r="D36" s="39"/>
      <c r="E36" s="39"/>
      <c r="F36" s="39"/>
      <c r="G36" s="39"/>
      <c r="H36" s="39"/>
      <c r="I36" s="39"/>
      <c r="J36" s="39"/>
      <c r="K36" s="39"/>
      <c r="L36" s="39"/>
      <c r="M36" s="39"/>
    </row>
    <row r="37" spans="2:14">
      <c r="B37" s="39" t="s">
        <v>120</v>
      </c>
      <c r="C37" t="s">
        <v>123</v>
      </c>
      <c r="D37" s="39"/>
      <c r="E37" s="39"/>
      <c r="F37" s="39"/>
      <c r="G37" s="39"/>
      <c r="H37" s="39"/>
      <c r="I37" s="39"/>
      <c r="J37" s="39"/>
      <c r="K37" s="39"/>
      <c r="L37" s="39"/>
      <c r="M37" s="39"/>
    </row>
    <row r="38" spans="2:14">
      <c r="B38" s="97" t="s">
        <v>127</v>
      </c>
      <c r="D38" s="39"/>
      <c r="E38" s="39"/>
      <c r="F38" s="39"/>
      <c r="G38" s="39"/>
      <c r="H38" s="39"/>
      <c r="I38" s="39"/>
      <c r="J38" s="39"/>
      <c r="K38" s="39"/>
      <c r="L38" s="39"/>
      <c r="M38" s="39"/>
    </row>
    <row r="39" spans="2:14">
      <c r="C39" s="39"/>
      <c r="E39" s="39"/>
      <c r="F39" s="39"/>
      <c r="G39" s="39"/>
      <c r="H39" s="39"/>
      <c r="I39" s="39"/>
      <c r="J39" s="39"/>
      <c r="K39" s="39"/>
      <c r="L39" s="39"/>
      <c r="M39" s="39"/>
      <c r="N39" s="39"/>
    </row>
    <row r="40" spans="2:14">
      <c r="B40" s="51" t="s">
        <v>254</v>
      </c>
      <c r="C40" s="39"/>
      <c r="D40" s="51" t="s">
        <v>7</v>
      </c>
      <c r="E40" s="51" t="s">
        <v>8</v>
      </c>
      <c r="F40" s="51" t="s">
        <v>9</v>
      </c>
      <c r="G40" s="51" t="s">
        <v>10</v>
      </c>
      <c r="H40" s="51" t="s">
        <v>108</v>
      </c>
      <c r="I40" s="146" t="s">
        <v>211</v>
      </c>
      <c r="J40" s="39"/>
      <c r="K40" s="39"/>
      <c r="L40" s="39"/>
      <c r="M40" s="39"/>
      <c r="N40" s="39"/>
    </row>
    <row r="41" spans="2:14">
      <c r="B41" t="s">
        <v>110</v>
      </c>
      <c r="C41" s="39" t="s">
        <v>115</v>
      </c>
      <c r="D41" s="58" t="s">
        <v>116</v>
      </c>
      <c r="F41" s="39"/>
      <c r="G41" s="39"/>
      <c r="H41" s="39"/>
      <c r="I41" t="s">
        <v>128</v>
      </c>
      <c r="J41" s="58"/>
      <c r="K41" s="39"/>
      <c r="L41" s="39"/>
      <c r="M41" s="39"/>
      <c r="N41" s="39"/>
    </row>
    <row r="42" spans="2:14">
      <c r="B42" t="s">
        <v>3</v>
      </c>
      <c r="C42" t="s">
        <v>13</v>
      </c>
      <c r="D42" s="57" t="s">
        <v>117</v>
      </c>
      <c r="I42" t="s">
        <v>109</v>
      </c>
    </row>
    <row r="43" spans="2:14">
      <c r="B43" t="s">
        <v>322</v>
      </c>
      <c r="C43" t="s">
        <v>324</v>
      </c>
      <c r="D43" s="57" t="s">
        <v>325</v>
      </c>
      <c r="I43" t="s">
        <v>109</v>
      </c>
    </row>
    <row r="44" spans="2:14">
      <c r="B44" t="s">
        <v>279</v>
      </c>
      <c r="C44" t="s">
        <v>13</v>
      </c>
      <c r="D44" s="57" t="s">
        <v>282</v>
      </c>
      <c r="I44" t="s">
        <v>109</v>
      </c>
    </row>
    <row r="45" spans="2:14">
      <c r="B45" t="s">
        <v>4</v>
      </c>
      <c r="C45" t="s">
        <v>13</v>
      </c>
      <c r="D45" s="57" t="s">
        <v>111</v>
      </c>
      <c r="I45" t="s">
        <v>112</v>
      </c>
    </row>
    <row r="46" spans="2:14">
      <c r="B46" t="s">
        <v>5</v>
      </c>
      <c r="C46" t="s">
        <v>13</v>
      </c>
      <c r="D46" s="57" t="s">
        <v>111</v>
      </c>
      <c r="I46" t="s">
        <v>113</v>
      </c>
    </row>
    <row r="47" spans="2:14">
      <c r="B47" t="s">
        <v>6</v>
      </c>
      <c r="C47" t="s">
        <v>13</v>
      </c>
      <c r="D47" s="57" t="s">
        <v>111</v>
      </c>
      <c r="I47" t="s">
        <v>114</v>
      </c>
    </row>
    <row r="48" spans="2:14">
      <c r="B48" s="72" t="s">
        <v>126</v>
      </c>
    </row>
    <row r="50" spans="2:11">
      <c r="C50" s="39"/>
      <c r="D50" s="51" t="s">
        <v>7</v>
      </c>
      <c r="E50" s="51" t="s">
        <v>8</v>
      </c>
      <c r="F50" s="51" t="s">
        <v>9</v>
      </c>
      <c r="G50" s="51" t="s">
        <v>10</v>
      </c>
      <c r="H50" s="51" t="s">
        <v>108</v>
      </c>
      <c r="I50" s="51" t="s">
        <v>273</v>
      </c>
    </row>
    <row r="51" spans="2:11">
      <c r="B51" t="s">
        <v>3</v>
      </c>
      <c r="C51" t="s">
        <v>13</v>
      </c>
      <c r="D51" s="63">
        <v>0.158</v>
      </c>
      <c r="E51" s="62">
        <v>-0.02</v>
      </c>
      <c r="F51" s="62">
        <v>5.0000000000000001E-3</v>
      </c>
      <c r="G51" s="62">
        <v>0.05</v>
      </c>
      <c r="H51" s="62">
        <v>0.05</v>
      </c>
      <c r="I51" s="100">
        <f>(1*(1+E51)*(1+F51)*(1+G51)*(1+H51)-1)</f>
        <v>8.5852249999999852E-2</v>
      </c>
    </row>
    <row r="52" spans="2:11">
      <c r="B52" t="s">
        <v>4</v>
      </c>
      <c r="C52" t="s">
        <v>13</v>
      </c>
      <c r="D52" s="63">
        <v>0.123</v>
      </c>
      <c r="E52" s="62">
        <v>0.08</v>
      </c>
      <c r="F52" s="62">
        <v>0.08</v>
      </c>
      <c r="G52" s="62">
        <v>0.08</v>
      </c>
      <c r="H52" s="102">
        <f>G64</f>
        <v>0.43126307479485199</v>
      </c>
      <c r="I52" s="100">
        <f>(1*(1+E52)*(1+F52)*(1+G52)*(1+H52)-1)</f>
        <v>0.80297927047597284</v>
      </c>
    </row>
    <row r="53" spans="2:11">
      <c r="B53" t="s">
        <v>5</v>
      </c>
      <c r="C53" t="s">
        <v>13</v>
      </c>
      <c r="D53" s="63">
        <v>0.123</v>
      </c>
      <c r="E53" s="62">
        <v>0.08</v>
      </c>
      <c r="F53" s="62">
        <v>0.08</v>
      </c>
      <c r="G53" s="62">
        <v>0.08</v>
      </c>
      <c r="H53" s="102">
        <f>G65</f>
        <v>0.14204454900941543</v>
      </c>
      <c r="I53" s="100">
        <f t="shared" ref="I53:I54" si="1">(1*(1+E53)*(1+F53)*(1+G53)*(1+H53)-1)</f>
        <v>0.43864722292174907</v>
      </c>
    </row>
    <row r="54" spans="2:11">
      <c r="B54" t="s">
        <v>6</v>
      </c>
      <c r="C54" t="s">
        <v>13</v>
      </c>
      <c r="D54" s="63">
        <v>0.123</v>
      </c>
      <c r="E54" s="62">
        <v>0.08</v>
      </c>
      <c r="F54" s="62">
        <v>0.08</v>
      </c>
      <c r="G54" s="62">
        <v>0.08</v>
      </c>
      <c r="H54" s="102">
        <f>G66</f>
        <v>1.1032036381673755E-2</v>
      </c>
      <c r="I54" s="100">
        <f t="shared" si="1"/>
        <v>0.27360918861443118</v>
      </c>
    </row>
    <row r="55" spans="2:11">
      <c r="B55" t="s">
        <v>110</v>
      </c>
      <c r="C55" s="39" t="s">
        <v>115</v>
      </c>
      <c r="D55" s="62">
        <v>0.112</v>
      </c>
      <c r="E55" s="62">
        <v>-0.02</v>
      </c>
      <c r="F55" s="62">
        <v>5.0000000000000001E-3</v>
      </c>
      <c r="G55" s="62">
        <v>0.05</v>
      </c>
      <c r="H55" s="62">
        <v>0.05</v>
      </c>
      <c r="I55" s="100">
        <f>(1*(1+E55)*(1+F55)*(1+G55)*(1+H55)-1)</f>
        <v>8.5852249999999852E-2</v>
      </c>
    </row>
    <row r="56" spans="2:11">
      <c r="B56" t="s">
        <v>322</v>
      </c>
      <c r="C56" s="39" t="s">
        <v>324</v>
      </c>
      <c r="D56" s="62">
        <v>0.17100000000000001</v>
      </c>
      <c r="E56" s="62">
        <v>-0.02</v>
      </c>
      <c r="F56" s="62">
        <v>5.0000000000000001E-3</v>
      </c>
      <c r="G56" s="62">
        <v>0.05</v>
      </c>
      <c r="H56" s="62">
        <v>0.05</v>
      </c>
      <c r="I56" s="100">
        <f>(1*(1+E56)*(1+F56)*(1+G56)*(1+H56)-1)</f>
        <v>8.5852249999999852E-2</v>
      </c>
    </row>
    <row r="57" spans="2:11">
      <c r="B57" t="s">
        <v>279</v>
      </c>
      <c r="C57" t="s">
        <v>13</v>
      </c>
      <c r="D57" s="63">
        <v>5.8000000000000003E-2</v>
      </c>
      <c r="E57" s="62">
        <v>0.05</v>
      </c>
      <c r="F57" s="62">
        <v>0.05</v>
      </c>
      <c r="G57" s="62">
        <v>0.05</v>
      </c>
      <c r="H57" s="62">
        <v>0.05</v>
      </c>
      <c r="I57" s="100">
        <f>(1*(1+E57)*(1+F57)*(1+G57)*(1+H57)-1)</f>
        <v>0.21550625000000023</v>
      </c>
    </row>
    <row r="58" spans="2:11" s="72" customFormat="1">
      <c r="E58" s="98" t="s">
        <v>129</v>
      </c>
    </row>
    <row r="59" spans="2:11" s="72" customFormat="1">
      <c r="C59" s="99"/>
      <c r="E59" s="98" t="s">
        <v>255</v>
      </c>
    </row>
    <row r="60" spans="2:11" s="72" customFormat="1">
      <c r="B60" s="72" t="s">
        <v>350</v>
      </c>
      <c r="C60" s="99"/>
      <c r="E60" s="98"/>
    </row>
    <row r="61" spans="2:11" s="72" customFormat="1">
      <c r="B61" s="72" t="s">
        <v>349</v>
      </c>
      <c r="C61" s="99"/>
      <c r="E61" s="98"/>
    </row>
    <row r="62" spans="2:11">
      <c r="C62" s="55"/>
      <c r="E62" s="61"/>
    </row>
    <row r="63" spans="2:11" ht="71.400000000000006" customHeight="1">
      <c r="C63" s="55"/>
      <c r="D63" s="148" t="str">
        <f>B4</f>
        <v>2016-17 tariffs</v>
      </c>
      <c r="E63" s="64" t="s">
        <v>372</v>
      </c>
      <c r="F63" s="64" t="s">
        <v>288</v>
      </c>
      <c r="G63" s="64" t="s">
        <v>258</v>
      </c>
      <c r="H63" s="64" t="s">
        <v>289</v>
      </c>
      <c r="I63" s="64" t="s">
        <v>258</v>
      </c>
      <c r="J63" s="64" t="s">
        <v>370</v>
      </c>
      <c r="K63" s="64" t="s">
        <v>258</v>
      </c>
    </row>
    <row r="64" spans="2:11">
      <c r="B64" t="str">
        <f>B52</f>
        <v>Tariff 62</v>
      </c>
      <c r="D64" s="7">
        <f>'Cost of Supply'!Q100</f>
        <v>12984.945600000001</v>
      </c>
      <c r="E64" s="7">
        <f>D64*(1+E52)*(1+F52)*(1+G52)</f>
        <v>16357.291791667205</v>
      </c>
      <c r="F64" s="7">
        <f>$F$67</f>
        <v>23411.587745058197</v>
      </c>
      <c r="G64" s="100">
        <f>(F64-E64)/E64</f>
        <v>0.43126307479485199</v>
      </c>
      <c r="H64" s="7">
        <f>$F$70</f>
        <v>20274.968000089699</v>
      </c>
      <c r="I64" s="100">
        <f>(H64-E64)/E64</f>
        <v>0.23950640841525195</v>
      </c>
      <c r="J64" s="7">
        <f>$F$69</f>
        <v>14958.022589855102</v>
      </c>
      <c r="K64" s="100">
        <f>(J64-E64)/E64</f>
        <v>-8.5544063139163684E-2</v>
      </c>
    </row>
    <row r="65" spans="2:13">
      <c r="B65" t="str">
        <f>B53</f>
        <v>Tariff 65</v>
      </c>
      <c r="D65" s="7">
        <f>'Cost of Supply'!Q101</f>
        <v>16273.334680000007</v>
      </c>
      <c r="E65" s="7">
        <f>D65*(1+E53)*(1+F53)*(1+G53)</f>
        <v>20499.714976412171</v>
      </c>
      <c r="F65" s="7">
        <f t="shared" ref="F65:F66" si="2">$F$67</f>
        <v>23411.587745058197</v>
      </c>
      <c r="G65" s="100">
        <f>(F65-E65)/E65</f>
        <v>0.14204454900941543</v>
      </c>
      <c r="H65" s="7">
        <f t="shared" ref="H65" si="3">$F$70</f>
        <v>20274.968000089699</v>
      </c>
      <c r="I65" s="100">
        <f>(H65-E65)/E65</f>
        <v>-1.0963419568568436E-2</v>
      </c>
      <c r="J65" s="7">
        <f t="shared" ref="J65" si="4">$F$69</f>
        <v>14958.022589855102</v>
      </c>
      <c r="K65" s="100">
        <f t="shared" ref="K65" si="5">(J65-E65)/E65</f>
        <v>-0.27033021644123212</v>
      </c>
    </row>
    <row r="66" spans="2:13">
      <c r="B66" t="str">
        <f>B54</f>
        <v>Tariff 66</v>
      </c>
      <c r="D66" s="7">
        <f>'Cost of Supply'!Q102</f>
        <v>18382.081374999998</v>
      </c>
      <c r="E66" s="7">
        <f>D66*(1+E54)*(1+F54)*(1+G54)</f>
        <v>23156.128493064003</v>
      </c>
      <c r="F66" s="7">
        <f t="shared" si="2"/>
        <v>23411.587745058197</v>
      </c>
      <c r="G66" s="100">
        <f>(F66-E66)/E66</f>
        <v>1.1032036381673755E-2</v>
      </c>
      <c r="H66" s="7">
        <f>$F$70</f>
        <v>20274.968000089699</v>
      </c>
      <c r="I66" s="100">
        <f>(H66-E66)/E66</f>
        <v>-0.12442323827306899</v>
      </c>
      <c r="J66" s="7">
        <f>$F$69</f>
        <v>14958.022589855102</v>
      </c>
      <c r="K66" s="100">
        <f>(J66-E66)/E66</f>
        <v>-0.35403612074723523</v>
      </c>
    </row>
    <row r="67" spans="2:13">
      <c r="B67" t="str">
        <f>B55</f>
        <v>Tariff 20</v>
      </c>
      <c r="C67" t="s">
        <v>257</v>
      </c>
      <c r="D67" s="7">
        <f>'Cost of Supply'!Q103</f>
        <v>21560.564750000009</v>
      </c>
      <c r="E67" s="7">
        <f>D67*(1+E55)*(1+F55)*(1+G55)</f>
        <v>22296.750233388757</v>
      </c>
      <c r="F67" s="7">
        <f>E67*(1+H55)</f>
        <v>23411.587745058197</v>
      </c>
      <c r="G67" s="116"/>
      <c r="H67" s="106"/>
      <c r="I67" s="106"/>
      <c r="J67" s="106"/>
      <c r="K67" s="106"/>
    </row>
    <row r="68" spans="2:13">
      <c r="B68" t="s">
        <v>3</v>
      </c>
      <c r="C68" s="72" t="s">
        <v>256</v>
      </c>
      <c r="D68" s="65">
        <f>'Cost of Supply'!Q99</f>
        <v>19395.785250000004</v>
      </c>
      <c r="E68" s="65">
        <f>D68*(1+E51)*(1+F51)*(1+G51)</f>
        <v>20058.054337361253</v>
      </c>
      <c r="F68" s="65">
        <f>E68*(1+H51)</f>
        <v>21060.957054229315</v>
      </c>
      <c r="G68" s="101">
        <f>H51</f>
        <v>0.05</v>
      </c>
      <c r="H68" s="106"/>
      <c r="I68" s="106"/>
      <c r="J68" s="106"/>
      <c r="K68" s="106"/>
    </row>
    <row r="69" spans="2:13">
      <c r="B69" t="s">
        <v>322</v>
      </c>
      <c r="C69" s="72" t="s">
        <v>326</v>
      </c>
      <c r="D69" s="65">
        <f>'Cost of Supply'!Q104</f>
        <v>13775.375600000001</v>
      </c>
      <c r="E69" s="65">
        <f>D69*(1+E56)*(1+F56)*(1+G56)</f>
        <v>14245.735799862001</v>
      </c>
      <c r="F69" s="65">
        <f>E69*(1+H56)</f>
        <v>14958.022589855102</v>
      </c>
      <c r="G69" s="101">
        <f>H56</f>
        <v>0.05</v>
      </c>
      <c r="H69" s="106"/>
      <c r="I69" s="106"/>
      <c r="J69" s="106"/>
      <c r="K69" s="106"/>
    </row>
    <row r="70" spans="2:13">
      <c r="B70" t="s">
        <v>279</v>
      </c>
      <c r="C70" s="72" t="s">
        <v>287</v>
      </c>
      <c r="D70" s="65">
        <f>'Cost of Supply'!Q105</f>
        <v>16680.266350000005</v>
      </c>
      <c r="E70" s="65">
        <f>D70*(1+E57)*(1+F57)*(1+G57)</f>
        <v>19309.493333418759</v>
      </c>
      <c r="F70" s="65">
        <f>E70*(1+H57)</f>
        <v>20274.968000089699</v>
      </c>
      <c r="G70" s="101">
        <f>H57</f>
        <v>0.05</v>
      </c>
      <c r="H70" s="106"/>
      <c r="I70" s="106"/>
      <c r="J70" s="106"/>
      <c r="K70" s="106"/>
    </row>
    <row r="72" spans="2:13">
      <c r="B72" s="69"/>
      <c r="C72" s="69"/>
      <c r="D72" s="69"/>
      <c r="E72" s="69"/>
      <c r="F72" s="69"/>
      <c r="G72" s="69"/>
      <c r="H72" s="69"/>
      <c r="I72" s="69"/>
      <c r="J72" s="69"/>
      <c r="K72" s="69"/>
      <c r="L72" s="69"/>
      <c r="M72" s="69"/>
    </row>
  </sheetData>
  <sheetProtection password="CA47" sheet="1" objects="1" scenarios="1"/>
  <mergeCells count="6">
    <mergeCell ref="G6:M6"/>
    <mergeCell ref="B32:I32"/>
    <mergeCell ref="B31:G31"/>
    <mergeCell ref="D16:E16"/>
    <mergeCell ref="G18:N18"/>
    <mergeCell ref="G15:R15"/>
  </mergeCells>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sheetPr codeName="Sheet5"/>
  <dimension ref="A1:Z229"/>
  <sheetViews>
    <sheetView workbookViewId="0">
      <selection activeCell="E3" sqref="E3"/>
    </sheetView>
  </sheetViews>
  <sheetFormatPr defaultRowHeight="14.4"/>
  <cols>
    <col min="2" max="2" width="10" customWidth="1"/>
    <col min="3" max="3" width="26.33203125" customWidth="1"/>
    <col min="4" max="4" width="13.6640625" customWidth="1"/>
    <col min="5" max="6" width="6.6640625" customWidth="1"/>
    <col min="7" max="15" width="10.6640625" customWidth="1"/>
    <col min="16" max="16" width="6.6640625" customWidth="1"/>
    <col min="17" max="17" width="12.33203125" customWidth="1"/>
    <col min="19" max="19" width="7.6640625" customWidth="1"/>
  </cols>
  <sheetData>
    <row r="1" spans="1:20" ht="18">
      <c r="A1" s="71" t="s">
        <v>155</v>
      </c>
    </row>
    <row r="2" spans="1:20" ht="18">
      <c r="A2" s="71"/>
      <c r="C2" s="209" t="str">
        <f>Tariffs!B4</f>
        <v>2016-17 tariffs</v>
      </c>
    </row>
    <row r="3" spans="1:20" s="32" customFormat="1">
      <c r="E3" s="94" t="s">
        <v>332</v>
      </c>
      <c r="F3" s="94" t="s">
        <v>330</v>
      </c>
      <c r="G3" s="94" t="s">
        <v>32</v>
      </c>
      <c r="H3" s="94" t="s">
        <v>33</v>
      </c>
      <c r="I3" s="94" t="s">
        <v>66</v>
      </c>
      <c r="J3" s="94" t="s">
        <v>35</v>
      </c>
      <c r="K3" s="94" t="s">
        <v>36</v>
      </c>
      <c r="L3" s="94" t="s">
        <v>67</v>
      </c>
      <c r="M3" s="94" t="s">
        <v>68</v>
      </c>
      <c r="N3" s="94" t="s">
        <v>69</v>
      </c>
      <c r="O3" s="94" t="s">
        <v>40</v>
      </c>
      <c r="P3" s="94" t="s">
        <v>331</v>
      </c>
      <c r="Q3" s="94" t="s">
        <v>48</v>
      </c>
    </row>
    <row r="4" spans="1:20" s="32" customFormat="1">
      <c r="B4" t="s">
        <v>85</v>
      </c>
      <c r="G4">
        <f>'Water and power req'!F29</f>
        <v>30</v>
      </c>
      <c r="H4">
        <f>'Water and power req'!G29</f>
        <v>31</v>
      </c>
      <c r="I4">
        <f>'Water and power req'!H29</f>
        <v>30</v>
      </c>
      <c r="J4">
        <f>'Water and power req'!I29</f>
        <v>31</v>
      </c>
      <c r="K4">
        <f>'Water and power req'!J29</f>
        <v>31</v>
      </c>
      <c r="L4">
        <f>'Water and power req'!K29</f>
        <v>28</v>
      </c>
      <c r="M4">
        <f>'Water and power req'!L29</f>
        <v>31</v>
      </c>
      <c r="N4">
        <f>'Water and power req'!M29</f>
        <v>30</v>
      </c>
      <c r="O4">
        <f>'Water and power req'!N29</f>
        <v>31</v>
      </c>
      <c r="P4"/>
      <c r="Q4">
        <f>SUM(E4:P4)</f>
        <v>273</v>
      </c>
    </row>
    <row r="5" spans="1:20">
      <c r="B5" t="s">
        <v>86</v>
      </c>
      <c r="D5" s="6"/>
      <c r="E5" s="6"/>
      <c r="F5" s="6"/>
      <c r="G5">
        <v>4.5</v>
      </c>
      <c r="H5">
        <v>5.5</v>
      </c>
      <c r="I5">
        <v>6</v>
      </c>
      <c r="J5">
        <v>7</v>
      </c>
      <c r="K5">
        <v>7</v>
      </c>
      <c r="L5">
        <v>6.5</v>
      </c>
      <c r="M5">
        <v>6</v>
      </c>
      <c r="N5">
        <v>5.5</v>
      </c>
      <c r="O5">
        <v>4.5</v>
      </c>
    </row>
    <row r="6" spans="1:20">
      <c r="B6" t="s">
        <v>84</v>
      </c>
      <c r="D6" s="6"/>
      <c r="E6" s="6"/>
      <c r="F6" s="6"/>
      <c r="G6" s="45">
        <f>'Water and power req'!F39*'Water and power req'!$C$9/100</f>
        <v>4.5749999999999993</v>
      </c>
      <c r="H6" s="45">
        <f>'Water and power req'!G39*'Water and power req'!$C$9/100</f>
        <v>13.700000000000003</v>
      </c>
      <c r="I6" s="45">
        <f>'Water and power req'!H39*'Water and power req'!$C$9/100</f>
        <v>29.225000000000001</v>
      </c>
      <c r="J6" s="45">
        <f>'Water and power req'!I39*'Water and power req'!$C$9/100</f>
        <v>33.474999999999994</v>
      </c>
      <c r="K6" s="45">
        <f>'Water and power req'!J39*'Water and power req'!$C$9/100</f>
        <v>36.710000000000015</v>
      </c>
      <c r="L6" s="45">
        <f>'Water and power req'!K39*'Water and power req'!$C$9/100</f>
        <v>24.390000000000004</v>
      </c>
      <c r="M6" s="45">
        <f>'Water and power req'!L39*'Water and power req'!$C$9/100</f>
        <v>29.187500000000004</v>
      </c>
      <c r="N6" s="45">
        <f>'Water and power req'!M39*'Water and power req'!$C$9/100</f>
        <v>25.275000000000006</v>
      </c>
      <c r="O6" s="45">
        <f>'Water and power req'!N39*'Water and power req'!$C$9/100</f>
        <v>6.5374999999999979</v>
      </c>
      <c r="P6" s="45"/>
      <c r="Q6" s="7">
        <f>SUM(E6:P6)</f>
        <v>203.07500000000002</v>
      </c>
    </row>
    <row r="7" spans="1:20">
      <c r="B7" t="s">
        <v>189</v>
      </c>
      <c r="G7" s="7">
        <f>G6/('Water and power req'!$C$13*3600/1000000)</f>
        <v>50.833333333333329</v>
      </c>
      <c r="H7" s="7">
        <f>H6/('Water and power req'!$C$13*3600/1000000)</f>
        <v>152.22222222222226</v>
      </c>
      <c r="I7" s="7">
        <f>I6/('Water and power req'!$C$13*3600/1000000)</f>
        <v>324.72222222222223</v>
      </c>
      <c r="J7" s="7">
        <f>J6/('Water and power req'!$C$13*3600/1000000)</f>
        <v>371.9444444444444</v>
      </c>
      <c r="K7" s="7">
        <f>K6/('Water and power req'!$C$13*3600/1000000)</f>
        <v>407.88888888888908</v>
      </c>
      <c r="L7" s="7">
        <f>L6/('Water and power req'!$C$13*3600/1000000)</f>
        <v>271.00000000000006</v>
      </c>
      <c r="M7" s="7">
        <f>M6/('Water and power req'!$C$13*3600/1000000)</f>
        <v>324.3055555555556</v>
      </c>
      <c r="N7" s="7">
        <f>N6/('Water and power req'!$C$13*3600/1000000)</f>
        <v>280.83333333333343</v>
      </c>
      <c r="O7" s="7">
        <f>O6/('Water and power req'!$C$13*3600/1000000)</f>
        <v>72.638888888888872</v>
      </c>
      <c r="P7" s="7"/>
    </row>
    <row r="8" spans="1:20">
      <c r="B8" t="s">
        <v>190</v>
      </c>
      <c r="G8" s="7">
        <f>G7*'Water and power req'!$C$11</f>
        <v>1829.9999999999998</v>
      </c>
      <c r="H8" s="7">
        <f>H7*'Water and power req'!$C$11</f>
        <v>5480.0000000000009</v>
      </c>
      <c r="I8" s="7">
        <f>I7*'Water and power req'!$C$11</f>
        <v>11690</v>
      </c>
      <c r="J8" s="7">
        <f>J7*'Water and power req'!$C$11</f>
        <v>13389.999999999998</v>
      </c>
      <c r="K8" s="7">
        <f>K7*'Water and power req'!$C$11</f>
        <v>14684.000000000007</v>
      </c>
      <c r="L8" s="7">
        <f>L7*'Water and power req'!$C$11</f>
        <v>9756.0000000000018</v>
      </c>
      <c r="M8" s="7">
        <f>M7*'Water and power req'!$C$11</f>
        <v>11675.000000000002</v>
      </c>
      <c r="N8" s="7">
        <f>N7*'Water and power req'!$C$11</f>
        <v>10110.000000000004</v>
      </c>
      <c r="O8" s="7">
        <f>O7*'Water and power req'!$C$11</f>
        <v>2614.9999999999995</v>
      </c>
      <c r="P8" s="7"/>
      <c r="Q8" s="7">
        <f>SUM(E8:P8)</f>
        <v>81230.000000000015</v>
      </c>
    </row>
    <row r="9" spans="1:20" ht="42.75" customHeight="1">
      <c r="B9" s="197" t="s">
        <v>523</v>
      </c>
      <c r="C9" s="197"/>
      <c r="D9" s="197"/>
      <c r="E9" s="197"/>
      <c r="G9" s="7">
        <f>G5*'Water and power req'!F29*0.8*'Water and power req'!$C$14*0.7</f>
        <v>4233.5999999999995</v>
      </c>
      <c r="H9" s="7">
        <f>H5*'Water and power req'!G29*0.8*'Water and power req'!$C$14*0.7</f>
        <v>5346.88</v>
      </c>
      <c r="I9" s="7">
        <f>I5*'Water and power req'!H29*0.8*'Water and power req'!$C$14*0.7</f>
        <v>5644.7999999999993</v>
      </c>
      <c r="J9" s="7">
        <f>J5*'Water and power req'!I29*0.8*'Water and power req'!$C$14*0.7</f>
        <v>6805.1200000000008</v>
      </c>
      <c r="K9" s="7">
        <f>K5*'Water and power req'!J29*0.8*'Water and power req'!$C$14*0.7</f>
        <v>6805.1200000000008</v>
      </c>
      <c r="L9" s="7">
        <f>L5*'Water and power req'!K29*0.8*'Water and power req'!$C$14*0.7</f>
        <v>5707.5199999999995</v>
      </c>
      <c r="M9" s="7">
        <f>M5*'Water and power req'!L29*0.8*'Water and power req'!$C$14*0.7</f>
        <v>5832.96</v>
      </c>
      <c r="N9" s="7">
        <f>N5*'Water and power req'!M29*0.8*'Water and power req'!$C$14*0.7</f>
        <v>5174.3999999999996</v>
      </c>
      <c r="O9" s="7">
        <f>O5*'Water and power req'!N29*0.8*'Water and power req'!$C$14*0.7</f>
        <v>4374.72</v>
      </c>
      <c r="P9" s="7"/>
      <c r="Q9" s="7">
        <f>SUM(E9:P9)</f>
        <v>49925.120000000003</v>
      </c>
    </row>
    <row r="10" spans="1:20">
      <c r="B10" t="s">
        <v>423</v>
      </c>
      <c r="G10" s="7">
        <f>MAX(G9/0.7-G9,0)*0.87</f>
        <v>1578.5280000000005</v>
      </c>
      <c r="H10" s="7">
        <f t="shared" ref="H10:O10" si="0">MAX(H9/0.7-H9,0)*0.87</f>
        <v>1993.6224000000004</v>
      </c>
      <c r="I10" s="7">
        <f t="shared" si="0"/>
        <v>2104.7039999999997</v>
      </c>
      <c r="J10" s="7">
        <f t="shared" si="0"/>
        <v>2537.3376000000012</v>
      </c>
      <c r="K10" s="7">
        <f t="shared" si="0"/>
        <v>2537.3376000000012</v>
      </c>
      <c r="L10" s="7">
        <f t="shared" si="0"/>
        <v>2128.0895999999998</v>
      </c>
      <c r="M10" s="7">
        <f t="shared" si="0"/>
        <v>2174.8608000000008</v>
      </c>
      <c r="N10" s="7">
        <f t="shared" si="0"/>
        <v>1929.3120000000004</v>
      </c>
      <c r="O10" s="7">
        <f t="shared" si="0"/>
        <v>1631.1456000000001</v>
      </c>
      <c r="P10" s="7"/>
      <c r="S10" s="7"/>
    </row>
    <row r="11" spans="1:20" ht="13.95" customHeight="1">
      <c r="B11" t="s">
        <v>142</v>
      </c>
      <c r="G11" s="7">
        <f t="shared" ref="G11:O11" si="1">MAX(0,G8-G9)</f>
        <v>0</v>
      </c>
      <c r="H11" s="7">
        <f t="shared" si="1"/>
        <v>133.1200000000008</v>
      </c>
      <c r="I11" s="7">
        <f t="shared" si="1"/>
        <v>6045.2000000000007</v>
      </c>
      <c r="J11" s="7">
        <f t="shared" si="1"/>
        <v>6584.8799999999974</v>
      </c>
      <c r="K11" s="7">
        <f t="shared" si="1"/>
        <v>7878.8800000000065</v>
      </c>
      <c r="L11" s="7">
        <f t="shared" si="1"/>
        <v>4048.4800000000023</v>
      </c>
      <c r="M11" s="7">
        <f t="shared" si="1"/>
        <v>5842.0400000000018</v>
      </c>
      <c r="N11" s="7">
        <f t="shared" si="1"/>
        <v>4935.600000000004</v>
      </c>
      <c r="O11" s="7">
        <f t="shared" si="1"/>
        <v>0</v>
      </c>
      <c r="P11" s="7"/>
      <c r="Q11" s="7">
        <f>SUM(E11:P11)</f>
        <v>35468.200000000012</v>
      </c>
      <c r="S11" s="7"/>
    </row>
    <row r="12" spans="1:20" ht="13.95" customHeight="1">
      <c r="G12" s="7"/>
      <c r="H12" s="7"/>
      <c r="I12" s="7"/>
      <c r="J12" s="7"/>
      <c r="K12" s="7"/>
      <c r="L12" s="7"/>
      <c r="M12" s="7"/>
      <c r="N12" s="7"/>
      <c r="O12" s="7"/>
      <c r="P12" s="7"/>
      <c r="Q12" s="7"/>
      <c r="S12" s="7"/>
    </row>
    <row r="13" spans="1:20" s="39" customFormat="1">
      <c r="A13" s="10"/>
      <c r="B13" s="32" t="s">
        <v>522</v>
      </c>
      <c r="C13" s="14"/>
      <c r="D13" s="14"/>
      <c r="E13" s="94" t="str">
        <f t="shared" ref="E13:P13" si="2">E19</f>
        <v>July</v>
      </c>
      <c r="F13" s="94" t="str">
        <f t="shared" si="2"/>
        <v>August</v>
      </c>
      <c r="G13" s="94" t="str">
        <f t="shared" si="2"/>
        <v>Sept</v>
      </c>
      <c r="H13" s="94" t="str">
        <f t="shared" si="2"/>
        <v>Oct</v>
      </c>
      <c r="I13" s="94" t="str">
        <f t="shared" si="2"/>
        <v xml:space="preserve">Nov </v>
      </c>
      <c r="J13" s="94" t="str">
        <f t="shared" si="2"/>
        <v>Dec</v>
      </c>
      <c r="K13" s="94" t="str">
        <f t="shared" si="2"/>
        <v>Jan</v>
      </c>
      <c r="L13" s="94" t="str">
        <f t="shared" si="2"/>
        <v>Feb</v>
      </c>
      <c r="M13" s="94" t="str">
        <f t="shared" si="2"/>
        <v xml:space="preserve">March </v>
      </c>
      <c r="N13" s="94" t="str">
        <f t="shared" si="2"/>
        <v>Apr</v>
      </c>
      <c r="O13" s="94" t="str">
        <f t="shared" si="2"/>
        <v>May</v>
      </c>
      <c r="P13" s="94" t="str">
        <f t="shared" si="2"/>
        <v>June</v>
      </c>
      <c r="Q13" s="10"/>
      <c r="R13" s="10"/>
      <c r="S13" s="143"/>
      <c r="T13" s="143"/>
    </row>
    <row r="14" spans="1:20" s="39" customFormat="1">
      <c r="A14" s="10"/>
      <c r="B14" s="10" t="s">
        <v>541</v>
      </c>
      <c r="D14" s="14"/>
      <c r="E14" s="79"/>
      <c r="F14" s="79"/>
      <c r="G14" s="79">
        <f>'Water and power req'!$C$12</f>
        <v>36</v>
      </c>
      <c r="H14" s="79">
        <f>'Water and power req'!$C$12</f>
        <v>36</v>
      </c>
      <c r="I14" s="79">
        <f>'Water and power req'!$C$12</f>
        <v>36</v>
      </c>
      <c r="J14" s="79">
        <f>'Water and power req'!$C$12</f>
        <v>36</v>
      </c>
      <c r="K14" s="79">
        <f>'Water and power req'!$C$12</f>
        <v>36</v>
      </c>
      <c r="L14" s="79">
        <f>'Water and power req'!$C$12</f>
        <v>36</v>
      </c>
      <c r="M14" s="79">
        <f>'Water and power req'!$C$12</f>
        <v>36</v>
      </c>
      <c r="N14" s="79">
        <f>'Water and power req'!$C$12</f>
        <v>36</v>
      </c>
      <c r="O14" s="79">
        <f>'Water and power req'!$C$12</f>
        <v>36</v>
      </c>
      <c r="P14" s="79"/>
      <c r="Q14" s="10"/>
      <c r="R14" s="10"/>
      <c r="S14" s="143"/>
      <c r="T14" s="143"/>
    </row>
    <row r="15" spans="1:20" s="39" customFormat="1">
      <c r="A15" s="10"/>
      <c r="B15" s="10" t="s">
        <v>524</v>
      </c>
      <c r="D15" s="14"/>
      <c r="E15" s="79"/>
      <c r="F15" s="79"/>
      <c r="G15" s="79">
        <f>ROUNDUP(G22/G14/'Cost of Supply'!$G$4,0)</f>
        <v>2</v>
      </c>
      <c r="H15" s="79">
        <f>ROUNDUP(H22/H14/'Cost of Supply'!$G$4,0)</f>
        <v>5</v>
      </c>
      <c r="I15" s="79">
        <f>ROUNDUP(I22/I14/'Cost of Supply'!$G$4,0)</f>
        <v>6</v>
      </c>
      <c r="J15" s="79">
        <f>ROUNDUP(J22/J14/'Cost of Supply'!$G$4,0)</f>
        <v>7</v>
      </c>
      <c r="K15" s="79">
        <f>ROUNDUP(K22/K14/'Cost of Supply'!$G$4,0)</f>
        <v>7</v>
      </c>
      <c r="L15" s="79">
        <f>ROUNDUP(L22/L14/'Cost of Supply'!$G$4,0)</f>
        <v>6</v>
      </c>
      <c r="M15" s="79">
        <f>ROUNDUP(M22/M14/'Cost of Supply'!$G$4,0)</f>
        <v>6</v>
      </c>
      <c r="N15" s="79">
        <f>ROUNDUP(N22/N14/'Cost of Supply'!$G$4,0)</f>
        <v>5</v>
      </c>
      <c r="O15" s="79">
        <f>ROUNDUP(O22/O14/'Cost of Supply'!$G$4,0)</f>
        <v>3</v>
      </c>
      <c r="P15" s="79"/>
      <c r="Q15" s="10"/>
      <c r="R15" s="10"/>
      <c r="S15" s="143"/>
      <c r="T15" s="143"/>
    </row>
    <row r="16" spans="1:20" s="39" customFormat="1">
      <c r="A16" s="10"/>
      <c r="B16" s="10" t="s">
        <v>540</v>
      </c>
      <c r="C16" s="14"/>
      <c r="D16" s="14"/>
      <c r="E16" s="14"/>
      <c r="F16" s="141"/>
      <c r="G16" s="141">
        <f>ROUNDUP(G14/0.65,0)</f>
        <v>56</v>
      </c>
      <c r="H16" s="141">
        <f t="shared" ref="H16:O16" si="3">ROUNDUP(H14/0.65,0)</f>
        <v>56</v>
      </c>
      <c r="I16" s="141">
        <f t="shared" si="3"/>
        <v>56</v>
      </c>
      <c r="J16" s="141">
        <f t="shared" si="3"/>
        <v>56</v>
      </c>
      <c r="K16" s="141">
        <f t="shared" si="3"/>
        <v>56</v>
      </c>
      <c r="L16" s="141">
        <f t="shared" si="3"/>
        <v>56</v>
      </c>
      <c r="M16" s="141">
        <f t="shared" si="3"/>
        <v>56</v>
      </c>
      <c r="N16" s="141">
        <f t="shared" si="3"/>
        <v>56</v>
      </c>
      <c r="O16" s="141">
        <f t="shared" si="3"/>
        <v>56</v>
      </c>
      <c r="P16" s="141"/>
      <c r="Q16" s="10"/>
      <c r="R16" s="10"/>
      <c r="S16" s="143"/>
      <c r="T16" s="143"/>
    </row>
    <row r="17" spans="1:23" s="39" customFormat="1" ht="30" customHeight="1">
      <c r="A17" s="10"/>
      <c r="B17" s="206" t="s">
        <v>536</v>
      </c>
      <c r="C17" s="206"/>
      <c r="D17" s="206"/>
      <c r="E17" s="14"/>
      <c r="F17" s="141"/>
      <c r="G17" s="207" t="s">
        <v>539</v>
      </c>
      <c r="H17" s="207"/>
      <c r="I17" s="207"/>
      <c r="J17" s="207"/>
      <c r="K17" s="141">
        <v>0</v>
      </c>
      <c r="L17" s="141"/>
      <c r="M17" s="141"/>
      <c r="N17" s="141"/>
      <c r="O17" s="141"/>
      <c r="P17" s="141"/>
      <c r="Q17" s="10"/>
      <c r="R17" s="10"/>
      <c r="S17" s="143"/>
      <c r="T17" s="143"/>
    </row>
    <row r="18" spans="1:23">
      <c r="G18" s="7"/>
      <c r="H18" s="7"/>
      <c r="I18" s="7"/>
      <c r="J18" s="7"/>
      <c r="K18" s="7"/>
      <c r="L18" s="7"/>
      <c r="M18" s="7"/>
      <c r="N18" s="7"/>
      <c r="O18" s="7"/>
      <c r="P18" s="7"/>
      <c r="Q18" s="39"/>
      <c r="R18" s="39"/>
      <c r="S18" s="39"/>
      <c r="T18" s="39"/>
      <c r="U18" s="39"/>
      <c r="V18" s="39"/>
    </row>
    <row r="19" spans="1:23" s="32" customFormat="1">
      <c r="B19" s="32" t="s">
        <v>74</v>
      </c>
      <c r="E19" s="94" t="str">
        <f t="shared" ref="E19:Q19" si="4">E3</f>
        <v>July</v>
      </c>
      <c r="F19" s="94" t="str">
        <f t="shared" si="4"/>
        <v>August</v>
      </c>
      <c r="G19" s="94" t="str">
        <f t="shared" si="4"/>
        <v>Sept</v>
      </c>
      <c r="H19" s="94" t="str">
        <f t="shared" si="4"/>
        <v>Oct</v>
      </c>
      <c r="I19" s="94" t="str">
        <f t="shared" si="4"/>
        <v xml:space="preserve">Nov </v>
      </c>
      <c r="J19" s="94" t="str">
        <f t="shared" si="4"/>
        <v>Dec</v>
      </c>
      <c r="K19" s="94" t="str">
        <f t="shared" si="4"/>
        <v>Jan</v>
      </c>
      <c r="L19" s="94" t="str">
        <f t="shared" si="4"/>
        <v>Feb</v>
      </c>
      <c r="M19" s="94" t="str">
        <f t="shared" si="4"/>
        <v xml:space="preserve">March </v>
      </c>
      <c r="N19" s="94" t="str">
        <f t="shared" si="4"/>
        <v>Apr</v>
      </c>
      <c r="O19" s="94" t="str">
        <f t="shared" si="4"/>
        <v>May</v>
      </c>
      <c r="P19" s="94" t="str">
        <f t="shared" si="4"/>
        <v>June</v>
      </c>
      <c r="Q19" s="94" t="str">
        <f t="shared" si="4"/>
        <v>Total</v>
      </c>
    </row>
    <row r="20" spans="1:23" ht="14.4" customHeight="1">
      <c r="B20" t="s">
        <v>486</v>
      </c>
      <c r="G20" s="7">
        <f t="shared" ref="G20:O20" si="5">G9</f>
        <v>4233.5999999999995</v>
      </c>
      <c r="H20" s="7">
        <f t="shared" si="5"/>
        <v>5346.88</v>
      </c>
      <c r="I20" s="7">
        <f t="shared" si="5"/>
        <v>5644.7999999999993</v>
      </c>
      <c r="J20" s="7">
        <f t="shared" si="5"/>
        <v>6805.1200000000008</v>
      </c>
      <c r="K20" s="7">
        <f t="shared" si="5"/>
        <v>6805.1200000000008</v>
      </c>
      <c r="L20" s="7">
        <f t="shared" si="5"/>
        <v>5707.5199999999995</v>
      </c>
      <c r="M20" s="7">
        <f t="shared" si="5"/>
        <v>5832.96</v>
      </c>
      <c r="N20" s="7">
        <f t="shared" si="5"/>
        <v>5174.3999999999996</v>
      </c>
      <c r="O20" s="7">
        <f t="shared" si="5"/>
        <v>4374.72</v>
      </c>
      <c r="P20" s="7"/>
      <c r="Q20" s="7">
        <f>SUM(E20:P20)</f>
        <v>49925.120000000003</v>
      </c>
    </row>
    <row r="21" spans="1:23">
      <c r="B21" t="str">
        <f>B8</f>
        <v>Total power requirement per month (kWh)</v>
      </c>
      <c r="G21" s="7">
        <f t="shared" ref="G21:O21" si="6">G8</f>
        <v>1829.9999999999998</v>
      </c>
      <c r="H21" s="7">
        <f t="shared" si="6"/>
        <v>5480.0000000000009</v>
      </c>
      <c r="I21" s="7">
        <f t="shared" si="6"/>
        <v>11690</v>
      </c>
      <c r="J21" s="7">
        <f t="shared" si="6"/>
        <v>13389.999999999998</v>
      </c>
      <c r="K21" s="7">
        <f t="shared" si="6"/>
        <v>14684.000000000007</v>
      </c>
      <c r="L21" s="7">
        <f t="shared" si="6"/>
        <v>9756.0000000000018</v>
      </c>
      <c r="M21" s="7">
        <f t="shared" si="6"/>
        <v>11675.000000000002</v>
      </c>
      <c r="N21" s="7">
        <f t="shared" si="6"/>
        <v>10110.000000000004</v>
      </c>
      <c r="O21" s="7">
        <f t="shared" si="6"/>
        <v>2614.9999999999995</v>
      </c>
      <c r="P21" s="7"/>
      <c r="Q21" s="7">
        <f>SUM(E21:P21)</f>
        <v>81230.000000000015</v>
      </c>
      <c r="R21" t="s">
        <v>519</v>
      </c>
    </row>
    <row r="22" spans="1:23">
      <c r="B22" t="s">
        <v>306</v>
      </c>
      <c r="G22" s="7">
        <f>MIN(G20:G21)</f>
        <v>1829.9999999999998</v>
      </c>
      <c r="H22" s="7">
        <f t="shared" ref="H22:O22" si="7">MIN(H20:H21)</f>
        <v>5346.88</v>
      </c>
      <c r="I22" s="7">
        <f t="shared" si="7"/>
        <v>5644.7999999999993</v>
      </c>
      <c r="J22" s="7">
        <f t="shared" si="7"/>
        <v>6805.1200000000008</v>
      </c>
      <c r="K22" s="7">
        <f>MIN(K20:K21)</f>
        <v>6805.1200000000008</v>
      </c>
      <c r="L22" s="7">
        <f t="shared" si="7"/>
        <v>5707.5199999999995</v>
      </c>
      <c r="M22" s="7">
        <f t="shared" si="7"/>
        <v>5832.96</v>
      </c>
      <c r="N22" s="7">
        <f t="shared" si="7"/>
        <v>5174.3999999999996</v>
      </c>
      <c r="O22" s="7">
        <f t="shared" si="7"/>
        <v>2614.9999999999995</v>
      </c>
      <c r="P22" s="7"/>
      <c r="Q22" s="7">
        <f>SUM(E22:P22)</f>
        <v>45761.80000000001</v>
      </c>
      <c r="R22" s="7">
        <f>IFERROR(Q22/Q9%,0)</f>
        <v>91.66087132089018</v>
      </c>
    </row>
    <row r="23" spans="1:23">
      <c r="B23" t="s">
        <v>80</v>
      </c>
      <c r="G23" s="7">
        <f t="shared" ref="G23:O23" si="8">MAX(0,G21-G20)</f>
        <v>0</v>
      </c>
      <c r="H23" s="7">
        <f t="shared" si="8"/>
        <v>133.1200000000008</v>
      </c>
      <c r="I23" s="7">
        <f t="shared" si="8"/>
        <v>6045.2000000000007</v>
      </c>
      <c r="J23" s="7">
        <f t="shared" si="8"/>
        <v>6584.8799999999974</v>
      </c>
      <c r="K23" s="7">
        <f t="shared" si="8"/>
        <v>7878.8800000000065</v>
      </c>
      <c r="L23" s="7">
        <f t="shared" si="8"/>
        <v>4048.4800000000023</v>
      </c>
      <c r="M23" s="7">
        <f t="shared" si="8"/>
        <v>5842.0400000000018</v>
      </c>
      <c r="N23" s="7">
        <f t="shared" si="8"/>
        <v>4935.600000000004</v>
      </c>
      <c r="O23" s="7">
        <f t="shared" si="8"/>
        <v>0</v>
      </c>
      <c r="P23" s="7"/>
      <c r="Q23" s="7">
        <f>SUM(E23:P23)</f>
        <v>35468.200000000012</v>
      </c>
    </row>
    <row r="24" spans="1:23">
      <c r="B24" t="s">
        <v>308</v>
      </c>
      <c r="G24" s="7">
        <f t="shared" ref="G24:O24" si="9">MAX(G16,ROUNDUP(G21/G5/G4/0.8/0.7,0))</f>
        <v>56</v>
      </c>
      <c r="H24" s="7">
        <f t="shared" si="9"/>
        <v>58</v>
      </c>
      <c r="I24" s="7">
        <f t="shared" si="9"/>
        <v>116</v>
      </c>
      <c r="J24" s="7">
        <f t="shared" si="9"/>
        <v>111</v>
      </c>
      <c r="K24" s="7">
        <f t="shared" si="9"/>
        <v>121</v>
      </c>
      <c r="L24" s="7">
        <f t="shared" si="9"/>
        <v>96</v>
      </c>
      <c r="M24" s="7">
        <f t="shared" si="9"/>
        <v>113</v>
      </c>
      <c r="N24" s="7">
        <f t="shared" si="9"/>
        <v>110</v>
      </c>
      <c r="O24" s="7">
        <f t="shared" si="9"/>
        <v>56</v>
      </c>
      <c r="P24" s="7"/>
      <c r="Q24" s="4" t="s">
        <v>425</v>
      </c>
      <c r="R24" s="4"/>
      <c r="S24" s="4"/>
      <c r="T24" s="4"/>
      <c r="U24" s="4"/>
      <c r="V24" s="4"/>
      <c r="W24" s="4"/>
    </row>
    <row r="25" spans="1:23">
      <c r="G25" s="7"/>
      <c r="H25" s="7"/>
      <c r="I25" s="7"/>
      <c r="J25" s="7"/>
      <c r="K25" s="7"/>
      <c r="L25" s="7"/>
      <c r="M25" s="7"/>
      <c r="N25" s="7"/>
      <c r="O25" s="7"/>
      <c r="P25" s="7"/>
      <c r="Q25" s="39"/>
      <c r="R25" s="39"/>
      <c r="S25" s="39"/>
      <c r="T25" s="39"/>
      <c r="U25" s="39"/>
    </row>
    <row r="26" spans="1:23">
      <c r="B26" s="32" t="s">
        <v>406</v>
      </c>
      <c r="C26" s="32"/>
      <c r="D26" s="32"/>
      <c r="E26" s="32" t="str">
        <f t="shared" ref="E26:P26" si="10">E19</f>
        <v>July</v>
      </c>
      <c r="F26" s="32" t="str">
        <f t="shared" si="10"/>
        <v>August</v>
      </c>
      <c r="G26" s="32" t="str">
        <f t="shared" si="10"/>
        <v>Sept</v>
      </c>
      <c r="H26" s="32" t="str">
        <f t="shared" si="10"/>
        <v>Oct</v>
      </c>
      <c r="I26" s="32" t="str">
        <f t="shared" si="10"/>
        <v xml:space="preserve">Nov </v>
      </c>
      <c r="J26" s="32" t="str">
        <f t="shared" si="10"/>
        <v>Dec</v>
      </c>
      <c r="K26" s="32" t="str">
        <f t="shared" si="10"/>
        <v>Jan</v>
      </c>
      <c r="L26" s="32" t="str">
        <f t="shared" si="10"/>
        <v>Feb</v>
      </c>
      <c r="M26" s="32" t="str">
        <f t="shared" si="10"/>
        <v xml:space="preserve">March </v>
      </c>
      <c r="N26" s="32" t="str">
        <f t="shared" si="10"/>
        <v>Apr</v>
      </c>
      <c r="O26" s="32" t="str">
        <f t="shared" si="10"/>
        <v>May</v>
      </c>
      <c r="P26" s="32" t="str">
        <f t="shared" si="10"/>
        <v>June</v>
      </c>
      <c r="Q26" s="7"/>
    </row>
    <row r="27" spans="1:23" s="39" customFormat="1">
      <c r="B27" s="39" t="s">
        <v>485</v>
      </c>
      <c r="G27" s="39">
        <f>'Capital &amp; operating cost solar'!$D$89*G4</f>
        <v>0</v>
      </c>
      <c r="H27" s="39">
        <f>'Capital &amp; operating cost solar'!$D$89*H4</f>
        <v>0</v>
      </c>
      <c r="I27" s="39">
        <f>'Capital &amp; operating cost solar'!$D$89*I4</f>
        <v>0</v>
      </c>
      <c r="J27" s="39">
        <f>'Capital &amp; operating cost solar'!$D$89*J4</f>
        <v>0</v>
      </c>
      <c r="K27" s="39">
        <f>'Capital &amp; operating cost solar'!$D$89*K4</f>
        <v>0</v>
      </c>
      <c r="L27" s="39">
        <f>'Capital &amp; operating cost solar'!$D$89*L4</f>
        <v>0</v>
      </c>
      <c r="M27" s="39">
        <f>'Capital &amp; operating cost solar'!$D$89*M4</f>
        <v>0</v>
      </c>
      <c r="N27" s="39">
        <f>'Capital &amp; operating cost solar'!$D$89*N4</f>
        <v>0</v>
      </c>
      <c r="O27" s="39">
        <f>'Capital &amp; operating cost solar'!$D$89*O4</f>
        <v>0</v>
      </c>
      <c r="P27" s="41"/>
      <c r="Q27" s="41"/>
    </row>
    <row r="28" spans="1:23" s="39" customFormat="1">
      <c r="B28" s="39" t="s">
        <v>487</v>
      </c>
      <c r="G28" s="118">
        <f>'Capital &amp; operating cost solar'!$D$89/Summary!$F$9</f>
        <v>0</v>
      </c>
      <c r="H28" s="118">
        <f>'Capital &amp; operating cost solar'!$D$89/Summary!$F$9</f>
        <v>0</v>
      </c>
      <c r="I28" s="118">
        <f>'Capital &amp; operating cost solar'!$D$89/Summary!$F$9</f>
        <v>0</v>
      </c>
      <c r="J28" s="118">
        <f>'Capital &amp; operating cost solar'!$D$89/Summary!$F$9</f>
        <v>0</v>
      </c>
      <c r="K28" s="118">
        <f>'Capital &amp; operating cost solar'!$D$89/Summary!$F$9</f>
        <v>0</v>
      </c>
      <c r="L28" s="118">
        <f>'Capital &amp; operating cost solar'!$D$89/Summary!$F$9</f>
        <v>0</v>
      </c>
      <c r="M28" s="118">
        <f>'Capital &amp; operating cost solar'!$D$89/Summary!$F$9</f>
        <v>0</v>
      </c>
      <c r="N28" s="118">
        <f>'Capital &amp; operating cost solar'!$D$89/Summary!$F$9</f>
        <v>0</v>
      </c>
      <c r="O28" s="118">
        <f>'Capital &amp; operating cost solar'!$D$89/Summary!$F$9</f>
        <v>0</v>
      </c>
      <c r="P28" s="41"/>
      <c r="Q28" s="41"/>
      <c r="R28" s="41"/>
    </row>
    <row r="29" spans="1:23" s="39" customFormat="1">
      <c r="B29" s="39" t="s">
        <v>424</v>
      </c>
      <c r="G29" s="41">
        <f t="shared" ref="G29:O29" si="11">G10</f>
        <v>1578.5280000000005</v>
      </c>
      <c r="H29" s="41">
        <f t="shared" si="11"/>
        <v>1993.6224000000004</v>
      </c>
      <c r="I29" s="41">
        <f t="shared" si="11"/>
        <v>2104.7039999999997</v>
      </c>
      <c r="J29" s="41">
        <f t="shared" si="11"/>
        <v>2537.3376000000012</v>
      </c>
      <c r="K29" s="41">
        <f t="shared" si="11"/>
        <v>2537.3376000000012</v>
      </c>
      <c r="L29" s="41">
        <f t="shared" si="11"/>
        <v>2128.0895999999998</v>
      </c>
      <c r="M29" s="41">
        <f t="shared" si="11"/>
        <v>2174.8608000000008</v>
      </c>
      <c r="N29" s="41">
        <f t="shared" si="11"/>
        <v>1929.3120000000004</v>
      </c>
      <c r="O29" s="41">
        <f t="shared" si="11"/>
        <v>1631.1456000000001</v>
      </c>
      <c r="P29" s="41"/>
      <c r="Q29" s="41"/>
    </row>
    <row r="30" spans="1:23" s="39" customFormat="1">
      <c r="B30" s="39" t="s">
        <v>488</v>
      </c>
      <c r="G30" s="41">
        <f t="shared" ref="G30:O30" si="12">IFERROR(G29/G27*G28,0)*G4</f>
        <v>0</v>
      </c>
      <c r="H30" s="41">
        <f t="shared" si="12"/>
        <v>0</v>
      </c>
      <c r="I30" s="41">
        <f t="shared" si="12"/>
        <v>0</v>
      </c>
      <c r="J30" s="41">
        <f t="shared" si="12"/>
        <v>0</v>
      </c>
      <c r="K30" s="41">
        <f t="shared" si="12"/>
        <v>0</v>
      </c>
      <c r="L30" s="41">
        <f t="shared" si="12"/>
        <v>0</v>
      </c>
      <c r="M30" s="41">
        <f t="shared" si="12"/>
        <v>0</v>
      </c>
      <c r="N30" s="41">
        <f t="shared" si="12"/>
        <v>0</v>
      </c>
      <c r="O30" s="41">
        <f t="shared" si="12"/>
        <v>0</v>
      </c>
      <c r="P30" s="41"/>
      <c r="Q30" s="41"/>
    </row>
    <row r="31" spans="1:23" s="39" customFormat="1">
      <c r="B31" s="39" t="s">
        <v>427</v>
      </c>
      <c r="G31" s="41">
        <f t="shared" ref="G31:O31" si="13">MIN(G11,G27,G29)</f>
        <v>0</v>
      </c>
      <c r="H31" s="41">
        <f t="shared" si="13"/>
        <v>0</v>
      </c>
      <c r="I31" s="41">
        <f t="shared" si="13"/>
        <v>0</v>
      </c>
      <c r="J31" s="41">
        <f t="shared" si="13"/>
        <v>0</v>
      </c>
      <c r="K31" s="41">
        <f t="shared" si="13"/>
        <v>0</v>
      </c>
      <c r="L31" s="41">
        <f t="shared" si="13"/>
        <v>0</v>
      </c>
      <c r="M31" s="41">
        <f t="shared" si="13"/>
        <v>0</v>
      </c>
      <c r="N31" s="41">
        <f t="shared" si="13"/>
        <v>0</v>
      </c>
      <c r="O31" s="41">
        <f t="shared" si="13"/>
        <v>0</v>
      </c>
      <c r="P31" s="41"/>
      <c r="Q31" s="41">
        <f>SUM(E31:P31)</f>
        <v>0</v>
      </c>
    </row>
    <row r="32" spans="1:23" s="39" customFormat="1">
      <c r="B32" s="39" t="s">
        <v>428</v>
      </c>
      <c r="G32" s="41">
        <f t="shared" ref="G32:O32" si="14">G11-G31</f>
        <v>0</v>
      </c>
      <c r="H32" s="41">
        <f t="shared" si="14"/>
        <v>133.1200000000008</v>
      </c>
      <c r="I32" s="41">
        <f t="shared" si="14"/>
        <v>6045.2000000000007</v>
      </c>
      <c r="J32" s="41">
        <f t="shared" si="14"/>
        <v>6584.8799999999974</v>
      </c>
      <c r="K32" s="41">
        <f t="shared" si="14"/>
        <v>7878.8800000000065</v>
      </c>
      <c r="L32" s="41">
        <f t="shared" si="14"/>
        <v>4048.4800000000023</v>
      </c>
      <c r="M32" s="41">
        <f t="shared" si="14"/>
        <v>5842.0400000000018</v>
      </c>
      <c r="N32" s="41">
        <f t="shared" si="14"/>
        <v>4935.600000000004</v>
      </c>
      <c r="O32" s="41">
        <f t="shared" si="14"/>
        <v>0</v>
      </c>
      <c r="P32" s="41"/>
      <c r="Q32" s="41">
        <f>SUM(E32:P32)</f>
        <v>35468.200000000012</v>
      </c>
    </row>
    <row r="33" spans="2:26" s="39" customFormat="1" ht="28.2" customHeight="1">
      <c r="B33" s="204" t="s">
        <v>525</v>
      </c>
      <c r="C33" s="204"/>
      <c r="D33" s="204"/>
      <c r="E33" s="204"/>
      <c r="F33" s="204"/>
      <c r="G33" s="204"/>
      <c r="H33" s="204"/>
      <c r="I33" s="204"/>
      <c r="J33" s="204"/>
      <c r="K33" s="204"/>
      <c r="L33" s="204"/>
      <c r="M33" s="204"/>
      <c r="N33" s="204"/>
      <c r="O33" s="204"/>
      <c r="P33" s="204"/>
      <c r="Q33" s="41"/>
    </row>
    <row r="34" spans="2:26">
      <c r="G34" s="7"/>
      <c r="H34" s="7"/>
      <c r="I34" s="7"/>
      <c r="J34" s="7"/>
      <c r="K34" s="7"/>
      <c r="L34" s="7"/>
      <c r="M34" s="7"/>
      <c r="N34" s="7"/>
      <c r="O34" s="7"/>
      <c r="P34" s="7"/>
    </row>
    <row r="35" spans="2:26">
      <c r="B35" s="32" t="s">
        <v>83</v>
      </c>
      <c r="E35" s="94" t="str">
        <f t="shared" ref="E35:P35" si="15">E3</f>
        <v>July</v>
      </c>
      <c r="F35" s="94" t="str">
        <f t="shared" si="15"/>
        <v>August</v>
      </c>
      <c r="G35" s="94" t="str">
        <f t="shared" si="15"/>
        <v>Sept</v>
      </c>
      <c r="H35" s="94" t="str">
        <f t="shared" si="15"/>
        <v>Oct</v>
      </c>
      <c r="I35" s="94" t="str">
        <f t="shared" si="15"/>
        <v xml:space="preserve">Nov </v>
      </c>
      <c r="J35" s="94" t="str">
        <f t="shared" si="15"/>
        <v>Dec</v>
      </c>
      <c r="K35" s="94" t="str">
        <f t="shared" si="15"/>
        <v>Jan</v>
      </c>
      <c r="L35" s="94" t="str">
        <f t="shared" si="15"/>
        <v>Feb</v>
      </c>
      <c r="M35" s="94" t="str">
        <f t="shared" si="15"/>
        <v xml:space="preserve">March </v>
      </c>
      <c r="N35" s="94" t="str">
        <f t="shared" si="15"/>
        <v>Apr</v>
      </c>
      <c r="O35" s="94" t="str">
        <f t="shared" si="15"/>
        <v>May</v>
      </c>
      <c r="P35" s="94" t="str">
        <f t="shared" si="15"/>
        <v>June</v>
      </c>
      <c r="Q35" s="56"/>
      <c r="S35" s="108"/>
    </row>
    <row r="36" spans="2:26">
      <c r="B36" t="str">
        <f>B6</f>
        <v>Water use for farm per month (ML)</v>
      </c>
      <c r="G36" s="45">
        <f t="shared" ref="G36:O36" si="16">G6</f>
        <v>4.5749999999999993</v>
      </c>
      <c r="H36" s="45">
        <f t="shared" si="16"/>
        <v>13.700000000000003</v>
      </c>
      <c r="I36" s="45">
        <f t="shared" si="16"/>
        <v>29.225000000000001</v>
      </c>
      <c r="J36" s="45">
        <f t="shared" si="16"/>
        <v>33.474999999999994</v>
      </c>
      <c r="K36" s="45">
        <f t="shared" si="16"/>
        <v>36.710000000000015</v>
      </c>
      <c r="L36" s="45">
        <f t="shared" si="16"/>
        <v>24.390000000000004</v>
      </c>
      <c r="M36" s="45">
        <f t="shared" si="16"/>
        <v>29.187500000000004</v>
      </c>
      <c r="N36" s="45">
        <f t="shared" si="16"/>
        <v>25.275000000000006</v>
      </c>
      <c r="O36" s="45">
        <f t="shared" si="16"/>
        <v>6.5374999999999979</v>
      </c>
      <c r="P36" s="45"/>
    </row>
    <row r="37" spans="2:26">
      <c r="B37" t="s">
        <v>263</v>
      </c>
      <c r="G37" s="45">
        <f>G4*'Water and power req'!$C$13*3600*24/1000000</f>
        <v>64.8</v>
      </c>
      <c r="H37" s="45">
        <f>H4*'Water and power req'!$C$13*3600*24/1000000</f>
        <v>66.959999999999994</v>
      </c>
      <c r="I37" s="45">
        <f>I4*'Water and power req'!$C$13*3600*24/1000000</f>
        <v>64.8</v>
      </c>
      <c r="J37" s="45">
        <f>J4*'Water and power req'!$C$13*3600*24/1000000</f>
        <v>66.959999999999994</v>
      </c>
      <c r="K37" s="45">
        <f>K4*'Water and power req'!$C$13*3600*24/1000000</f>
        <v>66.959999999999994</v>
      </c>
      <c r="L37" s="45">
        <f>L4*'Water and power req'!$C$13*3600*24/1000000</f>
        <v>60.48</v>
      </c>
      <c r="M37" s="45">
        <f>M4*'Water and power req'!$C$13*3600*24/1000000</f>
        <v>66.959999999999994</v>
      </c>
      <c r="N37" s="45">
        <f>N4*'Water and power req'!$C$13*3600*24/1000000</f>
        <v>64.8</v>
      </c>
      <c r="O37" s="45">
        <f>O4*'Water and power req'!$C$13*3600*24/1000000</f>
        <v>66.959999999999994</v>
      </c>
      <c r="P37" s="7"/>
    </row>
    <row r="38" spans="2:26">
      <c r="B38" t="s">
        <v>141</v>
      </c>
      <c r="G38" s="44" t="str">
        <f>IF(G36&gt;G37, "Yes", "No")</f>
        <v>No</v>
      </c>
      <c r="H38" s="44" t="str">
        <f t="shared" ref="H38:O38" si="17">IF(H36&gt;H37, "Yes", "No")</f>
        <v>No</v>
      </c>
      <c r="I38" s="44" t="str">
        <f t="shared" si="17"/>
        <v>No</v>
      </c>
      <c r="J38" s="44" t="str">
        <f t="shared" si="17"/>
        <v>No</v>
      </c>
      <c r="K38" s="44" t="str">
        <f t="shared" si="17"/>
        <v>No</v>
      </c>
      <c r="L38" s="44" t="str">
        <f t="shared" si="17"/>
        <v>No</v>
      </c>
      <c r="M38" s="44" t="str">
        <f t="shared" si="17"/>
        <v>No</v>
      </c>
      <c r="N38" s="44" t="str">
        <f t="shared" si="17"/>
        <v>No</v>
      </c>
      <c r="O38" s="44" t="str">
        <f t="shared" si="17"/>
        <v>No</v>
      </c>
      <c r="P38" s="44"/>
    </row>
    <row r="39" spans="2:26">
      <c r="B39" t="s">
        <v>371</v>
      </c>
      <c r="G39" s="117">
        <f>G4*'Water and power req'!$C$13*3600*14/1000000</f>
        <v>37.799999999999997</v>
      </c>
      <c r="H39" s="117">
        <f>H4*'Water and power req'!$C$13*3600*14/1000000</f>
        <v>39.06</v>
      </c>
      <c r="I39" s="117">
        <f>I4*'Water and power req'!$C$13*3600*14/1000000</f>
        <v>37.799999999999997</v>
      </c>
      <c r="J39" s="117">
        <f>J4*'Water and power req'!$C$13*3600*14/1000000</f>
        <v>39.06</v>
      </c>
      <c r="K39" s="117">
        <f>K4*'Water and power req'!$C$13*3600*14/1000000</f>
        <v>39.06</v>
      </c>
      <c r="L39" s="117">
        <f>L4*'Water and power req'!$C$13*3600*14/1000000</f>
        <v>35.28</v>
      </c>
      <c r="M39" s="117">
        <f>M4*'Water and power req'!$C$13*3600*14/1000000</f>
        <v>39.06</v>
      </c>
      <c r="N39" s="117">
        <f>N4*'Water and power req'!$C$13*3600*14/1000000</f>
        <v>37.799999999999997</v>
      </c>
      <c r="O39" s="117">
        <f>O4*'Water and power req'!$C$13*3600*14/1000000</f>
        <v>39.06</v>
      </c>
      <c r="P39" s="44"/>
    </row>
    <row r="40" spans="2:26">
      <c r="B40" t="s">
        <v>141</v>
      </c>
      <c r="G40" s="44" t="str">
        <f>IF(G36&gt;G39, "Yes", "No")</f>
        <v>No</v>
      </c>
      <c r="H40" s="44" t="str">
        <f t="shared" ref="H40:O40" si="18">IF(H36&gt;H39, "Yes", "No")</f>
        <v>No</v>
      </c>
      <c r="I40" s="44" t="str">
        <f t="shared" si="18"/>
        <v>No</v>
      </c>
      <c r="J40" s="44" t="str">
        <f t="shared" si="18"/>
        <v>No</v>
      </c>
      <c r="K40" s="44" t="str">
        <f t="shared" si="18"/>
        <v>No</v>
      </c>
      <c r="L40" s="44" t="str">
        <f t="shared" si="18"/>
        <v>No</v>
      </c>
      <c r="M40" s="44" t="str">
        <f t="shared" si="18"/>
        <v>No</v>
      </c>
      <c r="N40" s="44" t="str">
        <f t="shared" si="18"/>
        <v>No</v>
      </c>
      <c r="O40" s="44" t="str">
        <f t="shared" si="18"/>
        <v>No</v>
      </c>
      <c r="P40" s="44"/>
    </row>
    <row r="41" spans="2:26">
      <c r="B41" t="s">
        <v>264</v>
      </c>
      <c r="G41" s="45">
        <f>G4*'Water and power req'!$C$13*3600*12/1000000</f>
        <v>32.4</v>
      </c>
      <c r="H41" s="45">
        <f>H4*'Water and power req'!$C$13*3600*12/1000000</f>
        <v>33.479999999999997</v>
      </c>
      <c r="I41" s="45">
        <f>I4*'Water and power req'!$C$13*3600*12/1000000</f>
        <v>32.4</v>
      </c>
      <c r="J41" s="45">
        <f>J4*'Water and power req'!$C$13*3600*12/1000000</f>
        <v>33.479999999999997</v>
      </c>
      <c r="K41" s="45">
        <f>K4*'Water and power req'!$C$13*3600*12/1000000</f>
        <v>33.479999999999997</v>
      </c>
      <c r="L41" s="45">
        <f>L4*'Water and power req'!$C$13*3600*12/1000000</f>
        <v>30.24</v>
      </c>
      <c r="M41" s="45">
        <f>M4*'Water and power req'!$C$13*3600*12/1000000</f>
        <v>33.479999999999997</v>
      </c>
      <c r="N41" s="45">
        <f>N4*'Water and power req'!$C$13*3600*12/1000000</f>
        <v>32.4</v>
      </c>
      <c r="O41" s="45">
        <f>O4*'Water and power req'!$C$13*3600*12/1000000</f>
        <v>33.479999999999997</v>
      </c>
      <c r="P41" s="7"/>
    </row>
    <row r="42" spans="2:26">
      <c r="B42" t="s">
        <v>141</v>
      </c>
      <c r="G42" s="54" t="str">
        <f>IF(G36&gt;G41, "Yes", "No")</f>
        <v>No</v>
      </c>
      <c r="H42" s="54" t="str">
        <f t="shared" ref="H42:O42" si="19">IF(H36&gt;H41, "Yes", "No")</f>
        <v>No</v>
      </c>
      <c r="I42" s="54" t="str">
        <f t="shared" si="19"/>
        <v>No</v>
      </c>
      <c r="J42" s="54" t="str">
        <f t="shared" si="19"/>
        <v>No</v>
      </c>
      <c r="K42" s="54" t="str">
        <f>IF(K36&gt;K41, "Yes", "No")</f>
        <v>Yes</v>
      </c>
      <c r="L42" s="54" t="str">
        <f t="shared" si="19"/>
        <v>No</v>
      </c>
      <c r="M42" s="54" t="str">
        <f t="shared" si="19"/>
        <v>No</v>
      </c>
      <c r="N42" s="54" t="str">
        <f t="shared" si="19"/>
        <v>No</v>
      </c>
      <c r="O42" s="54" t="str">
        <f t="shared" si="19"/>
        <v>No</v>
      </c>
      <c r="P42" s="54"/>
      <c r="Q42" s="39"/>
    </row>
    <row r="43" spans="2:26">
      <c r="B43" t="s">
        <v>265</v>
      </c>
      <c r="G43" s="118">
        <f>G4*'Water and power req'!$C$13*3600*10/1000000</f>
        <v>27</v>
      </c>
      <c r="H43" s="118">
        <f>H4*'Water and power req'!$C$13*3600*10/1000000</f>
        <v>27.9</v>
      </c>
      <c r="I43" s="118">
        <f>I4*'Water and power req'!$C$13*3600*10/1000000</f>
        <v>27</v>
      </c>
      <c r="J43" s="118">
        <f>J4*'Water and power req'!$C$13*3600*10/1000000</f>
        <v>27.9</v>
      </c>
      <c r="K43" s="118">
        <f>K4*'Water and power req'!$C$13*3600*10/1000000</f>
        <v>27.9</v>
      </c>
      <c r="L43" s="118">
        <f>L4*'Water and power req'!$C$13*3600*10/1000000</f>
        <v>25.2</v>
      </c>
      <c r="M43" s="118">
        <f>M4*'Water and power req'!$C$13*3600*10/1000000</f>
        <v>27.9</v>
      </c>
      <c r="N43" s="118">
        <f>N4*'Water and power req'!$C$13*3600*10/1000000</f>
        <v>27</v>
      </c>
      <c r="O43" s="118">
        <f>O4*'Water and power req'!$C$13*3600*10/1000000</f>
        <v>27.9</v>
      </c>
      <c r="P43" s="41"/>
      <c r="Q43" s="39"/>
    </row>
    <row r="44" spans="2:26">
      <c r="B44" t="s">
        <v>141</v>
      </c>
      <c r="G44" s="54" t="str">
        <f t="shared" ref="G44:O44" si="20">IF(G36&gt;G43, "Yes", "No")</f>
        <v>No</v>
      </c>
      <c r="H44" s="54" t="str">
        <f t="shared" si="20"/>
        <v>No</v>
      </c>
      <c r="I44" s="54" t="str">
        <f t="shared" si="20"/>
        <v>Yes</v>
      </c>
      <c r="J44" s="54" t="str">
        <f t="shared" si="20"/>
        <v>Yes</v>
      </c>
      <c r="K44" s="54" t="str">
        <f t="shared" si="20"/>
        <v>Yes</v>
      </c>
      <c r="L44" s="54" t="str">
        <f t="shared" si="20"/>
        <v>No</v>
      </c>
      <c r="M44" s="54" t="str">
        <f t="shared" si="20"/>
        <v>Yes</v>
      </c>
      <c r="N44" s="54" t="str">
        <f t="shared" si="20"/>
        <v>No</v>
      </c>
      <c r="O44" s="54" t="str">
        <f t="shared" si="20"/>
        <v>No</v>
      </c>
      <c r="P44" s="54"/>
      <c r="Q44" s="39"/>
    </row>
    <row r="45" spans="2:26">
      <c r="B45" s="4" t="s">
        <v>321</v>
      </c>
      <c r="C45" s="4"/>
      <c r="D45" s="4"/>
      <c r="E45" s="4"/>
      <c r="F45" s="4"/>
      <c r="G45" s="53"/>
      <c r="H45" s="53"/>
      <c r="I45" s="53"/>
      <c r="J45" s="53"/>
      <c r="K45" s="53"/>
      <c r="L45" s="53"/>
      <c r="M45" s="53"/>
      <c r="N45" s="53"/>
      <c r="O45" s="53"/>
      <c r="P45" s="53"/>
      <c r="Q45" s="4"/>
      <c r="R45" s="4"/>
      <c r="S45" s="4"/>
      <c r="T45" s="4"/>
      <c r="U45" s="4"/>
      <c r="V45" s="4"/>
      <c r="W45" s="4"/>
      <c r="X45" s="4"/>
      <c r="Y45" s="4"/>
      <c r="Z45" s="4"/>
    </row>
    <row r="46" spans="2:26">
      <c r="G46" s="7"/>
      <c r="H46" s="7"/>
      <c r="I46" s="7"/>
      <c r="J46" s="7"/>
      <c r="K46" s="7"/>
      <c r="L46" s="7"/>
      <c r="M46" s="7"/>
      <c r="N46" s="7"/>
      <c r="O46" s="7"/>
      <c r="P46" s="7"/>
    </row>
    <row r="47" spans="2:26">
      <c r="B47" s="32" t="s">
        <v>73</v>
      </c>
      <c r="C47" s="32"/>
      <c r="D47" s="32"/>
      <c r="E47" s="94" t="str">
        <f>E35</f>
        <v>July</v>
      </c>
      <c r="F47" s="94" t="str">
        <f t="shared" ref="F47:P47" si="21">F35</f>
        <v>August</v>
      </c>
      <c r="G47" s="94" t="str">
        <f t="shared" si="21"/>
        <v>Sept</v>
      </c>
      <c r="H47" s="94" t="str">
        <f t="shared" si="21"/>
        <v>Oct</v>
      </c>
      <c r="I47" s="94" t="str">
        <f t="shared" si="21"/>
        <v xml:space="preserve">Nov </v>
      </c>
      <c r="J47" s="94" t="str">
        <f t="shared" si="21"/>
        <v>Dec</v>
      </c>
      <c r="K47" s="94" t="str">
        <f t="shared" si="21"/>
        <v>Jan</v>
      </c>
      <c r="L47" s="94" t="str">
        <f t="shared" si="21"/>
        <v>Feb</v>
      </c>
      <c r="M47" s="94" t="str">
        <f t="shared" si="21"/>
        <v xml:space="preserve">March </v>
      </c>
      <c r="N47" s="94" t="str">
        <f t="shared" si="21"/>
        <v>Apr</v>
      </c>
      <c r="O47" s="94" t="str">
        <f t="shared" si="21"/>
        <v>May</v>
      </c>
      <c r="P47" s="94" t="str">
        <f t="shared" si="21"/>
        <v>June</v>
      </c>
      <c r="Q47" s="94" t="s">
        <v>520</v>
      </c>
    </row>
    <row r="48" spans="2:26">
      <c r="B48" t="str">
        <f>B7</f>
        <v>Number of hours of use of water winch to irrigate crop</v>
      </c>
      <c r="G48" s="7">
        <f t="shared" ref="G48:O48" si="22">G7</f>
        <v>50.833333333333329</v>
      </c>
      <c r="H48" s="7">
        <f t="shared" si="22"/>
        <v>152.22222222222226</v>
      </c>
      <c r="I48" s="7">
        <f t="shared" si="22"/>
        <v>324.72222222222223</v>
      </c>
      <c r="J48" s="7">
        <f t="shared" si="22"/>
        <v>371.9444444444444</v>
      </c>
      <c r="K48" s="7">
        <f t="shared" si="22"/>
        <v>407.88888888888908</v>
      </c>
      <c r="L48" s="7">
        <f t="shared" si="22"/>
        <v>271.00000000000006</v>
      </c>
      <c r="M48" s="7">
        <f t="shared" si="22"/>
        <v>324.3055555555556</v>
      </c>
      <c r="N48" s="7">
        <f t="shared" si="22"/>
        <v>280.83333333333343</v>
      </c>
      <c r="O48" s="7">
        <f t="shared" si="22"/>
        <v>72.638888888888872</v>
      </c>
      <c r="P48" s="94"/>
      <c r="Q48" s="94"/>
    </row>
    <row r="49" spans="2:17">
      <c r="B49" t="s">
        <v>529</v>
      </c>
      <c r="G49" s="7"/>
      <c r="H49" s="7"/>
      <c r="I49" s="7"/>
      <c r="J49" s="7"/>
      <c r="K49" s="7"/>
      <c r="L49" s="7"/>
      <c r="M49" s="7"/>
      <c r="N49" s="7"/>
      <c r="O49" s="7"/>
      <c r="P49" s="94"/>
      <c r="Q49" s="94"/>
    </row>
    <row r="50" spans="2:17">
      <c r="B50" t="s">
        <v>528</v>
      </c>
      <c r="G50" s="7">
        <f>G4*24-((G4-9)*10)</f>
        <v>510</v>
      </c>
      <c r="H50" s="7">
        <f>H4*24-((H4-9)*10)</f>
        <v>524</v>
      </c>
      <c r="I50" s="7">
        <f>I4*24-((I4-9)*10)</f>
        <v>510</v>
      </c>
      <c r="J50" s="7">
        <f>J4*24-((J4-9)*10)</f>
        <v>524</v>
      </c>
      <c r="K50" s="7">
        <f>K4*24-((K4-9)*10)</f>
        <v>524</v>
      </c>
      <c r="L50" s="7">
        <f>L4*24-((L4-8)*10)</f>
        <v>472</v>
      </c>
      <c r="M50" s="7">
        <f>M4*24-((M4-9)*10)</f>
        <v>524</v>
      </c>
      <c r="N50" s="7">
        <f>N4*24-((N4-9)*10)</f>
        <v>510</v>
      </c>
      <c r="O50" s="7">
        <f>O4*24-((O4-9)*10)</f>
        <v>524</v>
      </c>
      <c r="P50" s="7"/>
    </row>
    <row r="51" spans="2:17">
      <c r="B51" t="s">
        <v>526</v>
      </c>
      <c r="G51" s="44" t="str">
        <f>IF(G50&gt;G48,"NO","YES")</f>
        <v>NO</v>
      </c>
      <c r="H51" s="44" t="str">
        <f t="shared" ref="H51:O51" si="23">IF(H50&gt;H48,"NO","YES")</f>
        <v>NO</v>
      </c>
      <c r="I51" s="44" t="str">
        <f t="shared" si="23"/>
        <v>NO</v>
      </c>
      <c r="J51" s="44" t="str">
        <f t="shared" si="23"/>
        <v>NO</v>
      </c>
      <c r="K51" s="44" t="str">
        <f t="shared" si="23"/>
        <v>NO</v>
      </c>
      <c r="L51" s="44" t="str">
        <f t="shared" si="23"/>
        <v>NO</v>
      </c>
      <c r="M51" s="44" t="str">
        <f t="shared" si="23"/>
        <v>NO</v>
      </c>
      <c r="N51" s="44" t="str">
        <f t="shared" si="23"/>
        <v>NO</v>
      </c>
      <c r="O51" s="44" t="str">
        <f t="shared" si="23"/>
        <v>NO</v>
      </c>
      <c r="P51" s="7"/>
    </row>
    <row r="52" spans="2:17">
      <c r="B52" t="s">
        <v>527</v>
      </c>
      <c r="G52" s="44" t="str">
        <f>IF(G51="NO","NA",(G48-G50)*'Water and power req'!$C$11)</f>
        <v>NA</v>
      </c>
      <c r="H52" s="44" t="str">
        <f>IF(H51="NO","NA",(H48-H50)*'Water and power req'!$C$11)</f>
        <v>NA</v>
      </c>
      <c r="I52" s="44" t="str">
        <f>IF(I51="NO","NA",(I48-I50)*'Water and power req'!$C$11)</f>
        <v>NA</v>
      </c>
      <c r="J52" s="44" t="str">
        <f>IF(J51="NO","NA",(J48-J50)*'Water and power req'!$C$11)</f>
        <v>NA</v>
      </c>
      <c r="K52" s="44" t="str">
        <f>IF(K51="NO","NA",(K48-K50)*'Water and power req'!$C$11)</f>
        <v>NA</v>
      </c>
      <c r="L52" s="44" t="str">
        <f>IF(L51="NO","NA",(L48-L50)*'Water and power req'!$C$11)</f>
        <v>NA</v>
      </c>
      <c r="M52" s="44" t="str">
        <f>IF(M51="NO","NA",(M48-M50)*'Water and power req'!$C$11)</f>
        <v>NA</v>
      </c>
      <c r="N52" s="44" t="str">
        <f>IF(N51="NO","NA",(N48-N50)*'Water and power req'!$C$11)</f>
        <v>NA</v>
      </c>
      <c r="O52" s="44" t="str">
        <f>IF(O51="NO","NA",(O48-O50)*'Water and power req'!$C$11)</f>
        <v>NA</v>
      </c>
      <c r="P52" s="7"/>
      <c r="Q52" s="7">
        <f>SUM(G52:O52)</f>
        <v>0</v>
      </c>
    </row>
    <row r="53" spans="2:17">
      <c r="B53" t="s">
        <v>530</v>
      </c>
      <c r="G53" s="7"/>
      <c r="H53" s="7"/>
      <c r="I53" s="7"/>
      <c r="J53" s="7"/>
      <c r="K53" s="7"/>
      <c r="L53" s="7"/>
      <c r="M53" s="7"/>
      <c r="N53" s="7"/>
      <c r="O53" s="7"/>
      <c r="P53" s="7"/>
      <c r="Q53" s="7"/>
    </row>
    <row r="54" spans="2:17">
      <c r="B54" t="str">
        <f>B50</f>
        <v xml:space="preserve">    Offpeak hours per month </v>
      </c>
      <c r="G54" s="7">
        <f t="shared" ref="G54:O54" si="24">G4*12</f>
        <v>360</v>
      </c>
      <c r="H54" s="7">
        <f t="shared" si="24"/>
        <v>372</v>
      </c>
      <c r="I54" s="7">
        <f t="shared" si="24"/>
        <v>360</v>
      </c>
      <c r="J54" s="7">
        <f t="shared" si="24"/>
        <v>372</v>
      </c>
      <c r="K54" s="7">
        <f t="shared" si="24"/>
        <v>372</v>
      </c>
      <c r="L54" s="7">
        <f t="shared" si="24"/>
        <v>336</v>
      </c>
      <c r="M54" s="7">
        <f t="shared" si="24"/>
        <v>372</v>
      </c>
      <c r="N54" s="7">
        <f t="shared" si="24"/>
        <v>360</v>
      </c>
      <c r="O54" s="7">
        <f t="shared" si="24"/>
        <v>372</v>
      </c>
      <c r="P54" s="7"/>
      <c r="Q54" s="7"/>
    </row>
    <row r="55" spans="2:17">
      <c r="B55" t="str">
        <f t="shared" ref="B55:B56" si="25">B51</f>
        <v xml:space="preserve">    Requirement to use peak power</v>
      </c>
      <c r="G55" s="44" t="str">
        <f>IF(G54&gt;G48,"NO","YES")</f>
        <v>NO</v>
      </c>
      <c r="H55" s="44" t="str">
        <f t="shared" ref="H55:O55" si="26">IF(H54&gt;H48,"NO","YES")</f>
        <v>NO</v>
      </c>
      <c r="I55" s="44" t="str">
        <f t="shared" si="26"/>
        <v>NO</v>
      </c>
      <c r="J55" s="44" t="str">
        <f t="shared" si="26"/>
        <v>NO</v>
      </c>
      <c r="K55" s="44" t="str">
        <f t="shared" si="26"/>
        <v>YES</v>
      </c>
      <c r="L55" s="44" t="str">
        <f t="shared" si="26"/>
        <v>NO</v>
      </c>
      <c r="M55" s="44" t="str">
        <f t="shared" si="26"/>
        <v>NO</v>
      </c>
      <c r="N55" s="44" t="str">
        <f t="shared" si="26"/>
        <v>NO</v>
      </c>
      <c r="O55" s="44" t="str">
        <f t="shared" si="26"/>
        <v>NO</v>
      </c>
      <c r="P55" s="7"/>
      <c r="Q55" s="7"/>
    </row>
    <row r="56" spans="2:17">
      <c r="B56" t="str">
        <f t="shared" si="25"/>
        <v xml:space="preserve">    Amount of peak power required (kWh)</v>
      </c>
      <c r="G56" s="44" t="str">
        <f>IF(G55="NO","NA",(G48-G54)*'Water and power req'!$C$11)</f>
        <v>NA</v>
      </c>
      <c r="H56" s="44" t="str">
        <f>IF(H55="NO","NA",(H48-H54)*'Water and power req'!$C$11)</f>
        <v>NA</v>
      </c>
      <c r="I56" s="44" t="str">
        <f>IF(I55="NO","NA",(I48-I54)*'Water and power req'!$C$11)</f>
        <v>NA</v>
      </c>
      <c r="J56" s="44" t="str">
        <f>IF(J55="NO","NA",(J48-J54)*'Water and power req'!$C$11)</f>
        <v>NA</v>
      </c>
      <c r="K56" s="44">
        <f>IF(K55="NO","NA",(K48-K54)*'Water and power req'!$C$11)</f>
        <v>1292.000000000007</v>
      </c>
      <c r="L56" s="44" t="str">
        <f>IF(L55="NO","NA",(L48-L54)*'Water and power req'!$C$11)</f>
        <v>NA</v>
      </c>
      <c r="M56" s="44" t="str">
        <f>IF(M55="NO","NA",(M48-M54)*'Water and power req'!$C$11)</f>
        <v>NA</v>
      </c>
      <c r="N56" s="44" t="str">
        <f>IF(N55="NO","NA",(N48-N54)*'Water and power req'!$C$11)</f>
        <v>NA</v>
      </c>
      <c r="O56" s="44" t="str">
        <f>IF(O55="NO","NA",(O48-O54)*'Water and power req'!$C$11)</f>
        <v>NA</v>
      </c>
      <c r="P56" s="7"/>
      <c r="Q56" s="7">
        <f t="shared" ref="Q56:Q60" si="27">SUM(G56:O56)</f>
        <v>1292.000000000007</v>
      </c>
    </row>
    <row r="57" spans="2:17">
      <c r="B57" t="s">
        <v>531</v>
      </c>
      <c r="G57" s="7"/>
      <c r="H57" s="7"/>
      <c r="I57" s="7"/>
      <c r="J57" s="7"/>
      <c r="K57" s="7"/>
      <c r="L57" s="7"/>
      <c r="M57" s="7"/>
      <c r="N57" s="7"/>
      <c r="O57" s="7"/>
      <c r="P57" s="7"/>
      <c r="Q57" s="7"/>
    </row>
    <row r="58" spans="2:17">
      <c r="B58" t="str">
        <f>B54</f>
        <v xml:space="preserve">    Offpeak hours per month </v>
      </c>
      <c r="G58" s="7">
        <f t="shared" ref="G58:O58" si="28">G4*24-((G4-9)*14)</f>
        <v>426</v>
      </c>
      <c r="H58" s="7">
        <f t="shared" si="28"/>
        <v>436</v>
      </c>
      <c r="I58" s="7">
        <f t="shared" si="28"/>
        <v>426</v>
      </c>
      <c r="J58" s="7">
        <f t="shared" si="28"/>
        <v>436</v>
      </c>
      <c r="K58" s="7">
        <f t="shared" si="28"/>
        <v>436</v>
      </c>
      <c r="L58" s="7">
        <f t="shared" si="28"/>
        <v>406</v>
      </c>
      <c r="M58" s="7">
        <f t="shared" si="28"/>
        <v>436</v>
      </c>
      <c r="N58" s="7">
        <f t="shared" si="28"/>
        <v>426</v>
      </c>
      <c r="O58" s="7">
        <f t="shared" si="28"/>
        <v>436</v>
      </c>
      <c r="P58" s="7"/>
      <c r="Q58" s="7"/>
    </row>
    <row r="59" spans="2:17">
      <c r="B59" t="str">
        <f t="shared" ref="B59:B60" si="29">B55</f>
        <v xml:space="preserve">    Requirement to use peak power</v>
      </c>
      <c r="G59" s="44" t="str">
        <f>IF(G48&gt;G58,"YES","NO")</f>
        <v>NO</v>
      </c>
      <c r="H59" s="44" t="str">
        <f t="shared" ref="H59:O59" si="30">IF(H48&gt;H58,"YES","NO")</f>
        <v>NO</v>
      </c>
      <c r="I59" s="44" t="str">
        <f t="shared" si="30"/>
        <v>NO</v>
      </c>
      <c r="J59" s="44" t="str">
        <f t="shared" si="30"/>
        <v>NO</v>
      </c>
      <c r="K59" s="44" t="str">
        <f t="shared" si="30"/>
        <v>NO</v>
      </c>
      <c r="L59" s="44" t="str">
        <f t="shared" si="30"/>
        <v>NO</v>
      </c>
      <c r="M59" s="44" t="str">
        <f t="shared" si="30"/>
        <v>NO</v>
      </c>
      <c r="N59" s="44" t="str">
        <f t="shared" si="30"/>
        <v>NO</v>
      </c>
      <c r="O59" s="44" t="str">
        <f t="shared" si="30"/>
        <v>NO</v>
      </c>
      <c r="P59" s="7"/>
      <c r="Q59" s="7"/>
    </row>
    <row r="60" spans="2:17">
      <c r="B60" t="str">
        <f t="shared" si="29"/>
        <v xml:space="preserve">    Amount of peak power required (kWh)</v>
      </c>
      <c r="G60" s="44" t="str">
        <f>IF(G59="NO","NA",(G48-G58)*'Water and power req'!$C$11)</f>
        <v>NA</v>
      </c>
      <c r="H60" s="44" t="str">
        <f>IF(H59="NO","NA",(H48-H58)*'Water and power req'!$C$11)</f>
        <v>NA</v>
      </c>
      <c r="I60" s="44" t="str">
        <f>IF(I59="NO","NA",(I48-I58)*'Water and power req'!$C$11)</f>
        <v>NA</v>
      </c>
      <c r="J60" s="44" t="str">
        <f>IF(J59="NO","NA",(J48-J58)*'Water and power req'!$C$11)</f>
        <v>NA</v>
      </c>
      <c r="K60" s="44" t="str">
        <f>IF(K59="NO","NA",(K48-K58)*'Water and power req'!$C$11)</f>
        <v>NA</v>
      </c>
      <c r="L60" s="44" t="str">
        <f>IF(L59="NO","NA",(L48-L58)*'Water and power req'!$C$11)</f>
        <v>NA</v>
      </c>
      <c r="M60" s="44" t="str">
        <f>IF(M59="NO","NA",(M48-M58)*'Water and power req'!$C$11)</f>
        <v>NA</v>
      </c>
      <c r="N60" s="44" t="str">
        <f>IF(N59="NO","NA",(N48-N58)*'Water and power req'!$C$11)</f>
        <v>NA</v>
      </c>
      <c r="O60" s="44" t="str">
        <f>IF(O59="NO","NA",(O48-O58)*'Water and power req'!$C$11)</f>
        <v>NA</v>
      </c>
      <c r="P60" s="7"/>
      <c r="Q60" s="7">
        <f t="shared" si="27"/>
        <v>0</v>
      </c>
    </row>
    <row r="61" spans="2:17">
      <c r="G61" s="44"/>
      <c r="H61" s="44"/>
      <c r="I61" s="44"/>
      <c r="J61" s="44"/>
      <c r="K61" s="44"/>
      <c r="L61" s="44"/>
      <c r="M61" s="44"/>
      <c r="N61" s="44"/>
      <c r="O61" s="44"/>
      <c r="P61" s="7"/>
      <c r="Q61" s="7"/>
    </row>
    <row r="62" spans="2:17" s="94" customFormat="1">
      <c r="B62" s="142" t="s">
        <v>72</v>
      </c>
      <c r="E62" s="94" t="str">
        <f>E47</f>
        <v>July</v>
      </c>
      <c r="F62" s="94" t="str">
        <f t="shared" ref="F62:Q62" si="31">F47</f>
        <v>August</v>
      </c>
      <c r="G62" s="94" t="str">
        <f t="shared" si="31"/>
        <v>Sept</v>
      </c>
      <c r="H62" s="94" t="str">
        <f t="shared" si="31"/>
        <v>Oct</v>
      </c>
      <c r="I62" s="94" t="str">
        <f t="shared" si="31"/>
        <v xml:space="preserve">Nov </v>
      </c>
      <c r="J62" s="94" t="str">
        <f t="shared" si="31"/>
        <v>Dec</v>
      </c>
      <c r="K62" s="94" t="str">
        <f t="shared" si="31"/>
        <v>Jan</v>
      </c>
      <c r="L62" s="94" t="str">
        <f t="shared" si="31"/>
        <v>Feb</v>
      </c>
      <c r="M62" s="94" t="str">
        <f t="shared" si="31"/>
        <v xml:space="preserve">March </v>
      </c>
      <c r="N62" s="94" t="str">
        <f t="shared" si="31"/>
        <v>Apr</v>
      </c>
      <c r="O62" s="94" t="str">
        <f t="shared" si="31"/>
        <v>May</v>
      </c>
      <c r="P62" s="94" t="str">
        <f t="shared" si="31"/>
        <v>June</v>
      </c>
      <c r="Q62" s="94" t="str">
        <f t="shared" si="31"/>
        <v>total peak use</v>
      </c>
    </row>
    <row r="63" spans="2:17">
      <c r="B63" t="s">
        <v>532</v>
      </c>
      <c r="G63" s="44">
        <f>G11/'Water and power req'!$C$11</f>
        <v>0</v>
      </c>
      <c r="H63" s="44">
        <f>H11/'Water and power req'!$C$11</f>
        <v>3.6977777777777998</v>
      </c>
      <c r="I63" s="44">
        <f>I11/'Water and power req'!$C$11</f>
        <v>167.92222222222225</v>
      </c>
      <c r="J63" s="44">
        <f>J11/'Water and power req'!$C$11</f>
        <v>182.91333333333327</v>
      </c>
      <c r="K63" s="44">
        <f>K11/'Water and power req'!$C$11</f>
        <v>218.85777777777795</v>
      </c>
      <c r="L63" s="44">
        <f>L11/'Water and power req'!$C$11</f>
        <v>112.45777777777784</v>
      </c>
      <c r="M63" s="44">
        <f>M11/'Water and power req'!$C$11</f>
        <v>162.27888888888893</v>
      </c>
      <c r="N63" s="44">
        <f>N11/'Water and power req'!$C$11</f>
        <v>137.10000000000011</v>
      </c>
      <c r="O63" s="44">
        <f>O11/'Water and power req'!$C$11</f>
        <v>0</v>
      </c>
      <c r="P63" s="7"/>
      <c r="Q63" s="7"/>
    </row>
    <row r="64" spans="2:17">
      <c r="B64" t="str">
        <f t="shared" ref="B64" si="32">B49</f>
        <v>Tariff 22A, 24 - 10 hours of peak per weekday</v>
      </c>
      <c r="G64" s="44"/>
      <c r="H64" s="44"/>
      <c r="I64" s="44"/>
      <c r="J64" s="44"/>
      <c r="K64" s="44"/>
      <c r="L64" s="44"/>
      <c r="M64" s="44"/>
      <c r="N64" s="44"/>
      <c r="O64" s="44"/>
      <c r="P64" s="7"/>
      <c r="Q64" s="7"/>
    </row>
    <row r="65" spans="2:17">
      <c r="B65" t="str">
        <f t="shared" ref="B65:B75" si="33">B50</f>
        <v xml:space="preserve">    Offpeak hours per month </v>
      </c>
      <c r="G65" s="44">
        <f>G50</f>
        <v>510</v>
      </c>
      <c r="H65" s="44">
        <f t="shared" ref="H65:O65" si="34">H50</f>
        <v>524</v>
      </c>
      <c r="I65" s="44">
        <f t="shared" si="34"/>
        <v>510</v>
      </c>
      <c r="J65" s="44">
        <f t="shared" si="34"/>
        <v>524</v>
      </c>
      <c r="K65" s="44">
        <f t="shared" si="34"/>
        <v>524</v>
      </c>
      <c r="L65" s="44">
        <f t="shared" si="34"/>
        <v>472</v>
      </c>
      <c r="M65" s="44">
        <f t="shared" si="34"/>
        <v>524</v>
      </c>
      <c r="N65" s="44">
        <f t="shared" si="34"/>
        <v>510</v>
      </c>
      <c r="O65" s="44">
        <f t="shared" si="34"/>
        <v>524</v>
      </c>
      <c r="P65" s="7"/>
      <c r="Q65" s="7"/>
    </row>
    <row r="66" spans="2:17">
      <c r="B66" t="str">
        <f t="shared" si="33"/>
        <v xml:space="preserve">    Requirement to use peak power</v>
      </c>
      <c r="G66" s="44" t="str">
        <f>IF(G65-G63&gt;0,"NO","YES")</f>
        <v>NO</v>
      </c>
      <c r="H66" s="44" t="str">
        <f t="shared" ref="H66:O66" si="35">IF(H65-H63&gt;0,"NO","YES")</f>
        <v>NO</v>
      </c>
      <c r="I66" s="44" t="str">
        <f t="shared" si="35"/>
        <v>NO</v>
      </c>
      <c r="J66" s="44" t="str">
        <f t="shared" si="35"/>
        <v>NO</v>
      </c>
      <c r="K66" s="44" t="str">
        <f t="shared" si="35"/>
        <v>NO</v>
      </c>
      <c r="L66" s="44" t="str">
        <f t="shared" si="35"/>
        <v>NO</v>
      </c>
      <c r="M66" s="44" t="str">
        <f t="shared" si="35"/>
        <v>NO</v>
      </c>
      <c r="N66" s="44" t="str">
        <f t="shared" si="35"/>
        <v>NO</v>
      </c>
      <c r="O66" s="44" t="str">
        <f t="shared" si="35"/>
        <v>NO</v>
      </c>
      <c r="P66" s="7"/>
      <c r="Q66" s="7"/>
    </row>
    <row r="67" spans="2:17">
      <c r="B67" t="str">
        <f t="shared" si="33"/>
        <v xml:space="preserve">    Amount of peak power required (kWh)</v>
      </c>
      <c r="G67" s="44" t="str">
        <f>IF(G66="NO","NA",(G63-G65)*'Water and power req'!$C$11)</f>
        <v>NA</v>
      </c>
      <c r="H67" s="44" t="str">
        <f>IF(H66="NO","NA",(H63-H65)*'Water and power req'!$C$11)</f>
        <v>NA</v>
      </c>
      <c r="I67" s="44" t="str">
        <f>IF(I66="NO","NA",(I63-I65)*'Water and power req'!$C$11)</f>
        <v>NA</v>
      </c>
      <c r="J67" s="44" t="str">
        <f>IF(J66="NO","NA",(J63-J65)*'Water and power req'!$C$11)</f>
        <v>NA</v>
      </c>
      <c r="K67" s="44" t="str">
        <f>IF(K66="NO","NA",(K63-K65)*'Water and power req'!$C$11)</f>
        <v>NA</v>
      </c>
      <c r="L67" s="44" t="str">
        <f>IF(L66="NO","NA",(L63-L65)*'Water and power req'!$C$11)</f>
        <v>NA</v>
      </c>
      <c r="M67" s="44" t="str">
        <f>IF(M66="NO","NA",(M63-M65)*'Water and power req'!$C$11)</f>
        <v>NA</v>
      </c>
      <c r="N67" s="44" t="str">
        <f>IF(N66="NO","NA",(N63-N65)*'Water and power req'!$C$11)</f>
        <v>NA</v>
      </c>
      <c r="O67" s="44" t="str">
        <f>IF(O66="NO","NA",(O63-O65)*'Water and power req'!$C$11)</f>
        <v>NA</v>
      </c>
      <c r="P67" s="7"/>
      <c r="Q67" s="7">
        <f t="shared" ref="Q67:Q75" si="36">SUM(G67:P67)</f>
        <v>0</v>
      </c>
    </row>
    <row r="68" spans="2:17">
      <c r="B68" t="str">
        <f t="shared" si="33"/>
        <v>Tariff 65 - 12 hours of peak per day</v>
      </c>
      <c r="G68" s="44"/>
      <c r="H68" s="44"/>
      <c r="I68" s="44"/>
      <c r="J68" s="44"/>
      <c r="K68" s="44"/>
      <c r="L68" s="44"/>
      <c r="M68" s="44"/>
      <c r="N68" s="44"/>
      <c r="O68" s="44"/>
      <c r="P68" s="7"/>
      <c r="Q68" s="7"/>
    </row>
    <row r="69" spans="2:17">
      <c r="B69" t="str">
        <f t="shared" si="33"/>
        <v xml:space="preserve">    Offpeak hours per month </v>
      </c>
      <c r="G69" s="44">
        <f>G54</f>
        <v>360</v>
      </c>
      <c r="H69" s="44">
        <f t="shared" ref="H69:O69" si="37">H54</f>
        <v>372</v>
      </c>
      <c r="I69" s="44">
        <f t="shared" si="37"/>
        <v>360</v>
      </c>
      <c r="J69" s="44">
        <f t="shared" si="37"/>
        <v>372</v>
      </c>
      <c r="K69" s="44">
        <f t="shared" si="37"/>
        <v>372</v>
      </c>
      <c r="L69" s="44">
        <f t="shared" si="37"/>
        <v>336</v>
      </c>
      <c r="M69" s="44">
        <f t="shared" si="37"/>
        <v>372</v>
      </c>
      <c r="N69" s="44">
        <f t="shared" si="37"/>
        <v>360</v>
      </c>
      <c r="O69" s="44">
        <f t="shared" si="37"/>
        <v>372</v>
      </c>
      <c r="P69" s="7"/>
      <c r="Q69" s="7"/>
    </row>
    <row r="70" spans="2:17">
      <c r="B70" t="str">
        <f t="shared" si="33"/>
        <v xml:space="preserve">    Requirement to use peak power</v>
      </c>
      <c r="G70" s="44" t="str">
        <f>IF(G69-G63&gt;0,"NO","YES")</f>
        <v>NO</v>
      </c>
      <c r="H70" s="44" t="str">
        <f t="shared" ref="H70:O70" si="38">IF(H69-H63&gt;0,"NO","YES")</f>
        <v>NO</v>
      </c>
      <c r="I70" s="44" t="str">
        <f t="shared" si="38"/>
        <v>NO</v>
      </c>
      <c r="J70" s="44" t="str">
        <f t="shared" si="38"/>
        <v>NO</v>
      </c>
      <c r="K70" s="44" t="str">
        <f>IF(K69-K63&gt;0,"NO","YES")</f>
        <v>NO</v>
      </c>
      <c r="L70" s="44" t="str">
        <f t="shared" si="38"/>
        <v>NO</v>
      </c>
      <c r="M70" s="44" t="str">
        <f t="shared" si="38"/>
        <v>NO</v>
      </c>
      <c r="N70" s="44" t="str">
        <f t="shared" si="38"/>
        <v>NO</v>
      </c>
      <c r="O70" s="44" t="str">
        <f t="shared" si="38"/>
        <v>NO</v>
      </c>
      <c r="P70" s="7"/>
      <c r="Q70" s="7"/>
    </row>
    <row r="71" spans="2:17">
      <c r="B71" t="str">
        <f t="shared" si="33"/>
        <v xml:space="preserve">    Amount of peak power required (kWh)</v>
      </c>
      <c r="G71" s="44" t="str">
        <f>IF(G70="NO","NA",(G63-G69)*'Water and power req'!$C$11)</f>
        <v>NA</v>
      </c>
      <c r="H71" s="44" t="str">
        <f>IF(H70="NO","NA",(H63-H69)*'Water and power req'!$C$11)</f>
        <v>NA</v>
      </c>
      <c r="I71" s="44" t="str">
        <f>IF(I70="NO","NA",(I63-I69)*'Water and power req'!$C$11)</f>
        <v>NA</v>
      </c>
      <c r="J71" s="44" t="str">
        <f>IF(J70="NO","NA",(J63-J69)*'Water and power req'!$C$11)</f>
        <v>NA</v>
      </c>
      <c r="K71" s="44" t="str">
        <f>IF(K70="NO","NA",(K63-K69)*'Water and power req'!$C$11)</f>
        <v>NA</v>
      </c>
      <c r="L71" s="44" t="str">
        <f>IF(L70="NO","NA",(L63-L69)*'Water and power req'!$C$11)</f>
        <v>NA</v>
      </c>
      <c r="M71" s="44" t="str">
        <f>IF(M70="NO","NA",(M63-M69)*'Water and power req'!$C$11)</f>
        <v>NA</v>
      </c>
      <c r="N71" s="44" t="str">
        <f>IF(N70="NO","NA",(N63-N69)*'Water and power req'!$C$11)</f>
        <v>NA</v>
      </c>
      <c r="O71" s="44" t="str">
        <f>IF(O70="NO","NA",(O63-O69)*'Water and power req'!$C$11)</f>
        <v>NA</v>
      </c>
      <c r="P71" s="7"/>
      <c r="Q71" s="7">
        <f t="shared" si="36"/>
        <v>0</v>
      </c>
    </row>
    <row r="72" spans="2:17">
      <c r="B72" t="str">
        <f t="shared" si="33"/>
        <v>Tariff 62 - 14 hours of peak per weekday</v>
      </c>
      <c r="G72" s="44"/>
      <c r="H72" s="44"/>
      <c r="I72" s="44"/>
      <c r="J72" s="44"/>
      <c r="K72" s="44"/>
      <c r="L72" s="44"/>
      <c r="M72" s="44"/>
      <c r="N72" s="44"/>
      <c r="O72" s="44"/>
      <c r="P72" s="7"/>
      <c r="Q72" s="7"/>
    </row>
    <row r="73" spans="2:17">
      <c r="B73" t="str">
        <f t="shared" si="33"/>
        <v xml:space="preserve">    Offpeak hours per month </v>
      </c>
      <c r="G73" s="44">
        <f>G58</f>
        <v>426</v>
      </c>
      <c r="H73" s="44">
        <f t="shared" ref="H73:O73" si="39">H58</f>
        <v>436</v>
      </c>
      <c r="I73" s="44">
        <f t="shared" si="39"/>
        <v>426</v>
      </c>
      <c r="J73" s="44">
        <f t="shared" si="39"/>
        <v>436</v>
      </c>
      <c r="K73" s="44">
        <f t="shared" si="39"/>
        <v>436</v>
      </c>
      <c r="L73" s="44">
        <f t="shared" si="39"/>
        <v>406</v>
      </c>
      <c r="M73" s="44">
        <f t="shared" si="39"/>
        <v>436</v>
      </c>
      <c r="N73" s="44">
        <f t="shared" si="39"/>
        <v>426</v>
      </c>
      <c r="O73" s="44">
        <f t="shared" si="39"/>
        <v>436</v>
      </c>
      <c r="P73" s="7"/>
      <c r="Q73" s="7"/>
    </row>
    <row r="74" spans="2:17">
      <c r="B74" t="str">
        <f t="shared" si="33"/>
        <v xml:space="preserve">    Requirement to use peak power</v>
      </c>
      <c r="G74" s="44" t="str">
        <f>IF(G73-G63&gt;0,"NO","YES")</f>
        <v>NO</v>
      </c>
      <c r="H74" s="44" t="str">
        <f t="shared" ref="H74:O74" si="40">IF(H73-H63&gt;0,"NO","YES")</f>
        <v>NO</v>
      </c>
      <c r="I74" s="44" t="str">
        <f t="shared" si="40"/>
        <v>NO</v>
      </c>
      <c r="J74" s="44" t="str">
        <f t="shared" si="40"/>
        <v>NO</v>
      </c>
      <c r="K74" s="44" t="str">
        <f t="shared" si="40"/>
        <v>NO</v>
      </c>
      <c r="L74" s="44" t="str">
        <f t="shared" si="40"/>
        <v>NO</v>
      </c>
      <c r="M74" s="44" t="str">
        <f t="shared" si="40"/>
        <v>NO</v>
      </c>
      <c r="N74" s="44" t="str">
        <f t="shared" si="40"/>
        <v>NO</v>
      </c>
      <c r="O74" s="44" t="str">
        <f t="shared" si="40"/>
        <v>NO</v>
      </c>
      <c r="P74" s="7"/>
      <c r="Q74" s="7"/>
    </row>
    <row r="75" spans="2:17">
      <c r="B75" t="str">
        <f t="shared" si="33"/>
        <v xml:space="preserve">    Amount of peak power required (kWh)</v>
      </c>
      <c r="G75" s="44" t="str">
        <f>IF(G74="NO","NA",(G63-G73)*'Water and power req'!$C$11)</f>
        <v>NA</v>
      </c>
      <c r="H75" s="44" t="str">
        <f>IF(H74="NO","NA",(H63-H73)*'Water and power req'!$C$11)</f>
        <v>NA</v>
      </c>
      <c r="I75" s="44" t="str">
        <f>IF(I74="NO","NA",(I63-I73)*'Water and power req'!$C$11)</f>
        <v>NA</v>
      </c>
      <c r="J75" s="44" t="str">
        <f>IF(J74="NO","NA",(J63-J73)*'Water and power req'!$C$11)</f>
        <v>NA</v>
      </c>
      <c r="K75" s="44" t="str">
        <f>IF(K74="NO","NA",(K63-K73)*'Water and power req'!$C$11)</f>
        <v>NA</v>
      </c>
      <c r="L75" s="44" t="str">
        <f>IF(L74="NO","NA",(L63-L73)*'Water and power req'!$C$11)</f>
        <v>NA</v>
      </c>
      <c r="M75" s="44" t="str">
        <f>IF(M74="NO","NA",(M63-M73)*'Water and power req'!$C$11)</f>
        <v>NA</v>
      </c>
      <c r="N75" s="44" t="str">
        <f>IF(N74="NO","NA",(N63-N73)*'Water and power req'!$C$11)</f>
        <v>NA</v>
      </c>
      <c r="O75" s="44" t="str">
        <f>IF(O74="NO","NA",(O63-O73)*'Water and power req'!$C$11)</f>
        <v>NA</v>
      </c>
      <c r="P75" s="7"/>
      <c r="Q75" s="7">
        <f t="shared" si="36"/>
        <v>0</v>
      </c>
    </row>
    <row r="76" spans="2:17">
      <c r="G76" s="44"/>
      <c r="H76" s="44"/>
      <c r="I76" s="44"/>
      <c r="J76" s="44"/>
      <c r="K76" s="44"/>
      <c r="L76" s="44"/>
      <c r="M76" s="44"/>
      <c r="N76" s="44"/>
      <c r="O76" s="44"/>
      <c r="P76" s="7"/>
      <c r="Q76" s="7"/>
    </row>
    <row r="77" spans="2:17">
      <c r="B77" s="32" t="s">
        <v>426</v>
      </c>
      <c r="E77" s="94" t="str">
        <f>E62</f>
        <v>July</v>
      </c>
      <c r="F77" s="94" t="str">
        <f t="shared" ref="F77:Q77" si="41">F62</f>
        <v>August</v>
      </c>
      <c r="G77" s="94" t="str">
        <f t="shared" si="41"/>
        <v>Sept</v>
      </c>
      <c r="H77" s="94" t="str">
        <f t="shared" si="41"/>
        <v>Oct</v>
      </c>
      <c r="I77" s="94" t="str">
        <f t="shared" si="41"/>
        <v xml:space="preserve">Nov </v>
      </c>
      <c r="J77" s="94" t="str">
        <f t="shared" si="41"/>
        <v>Dec</v>
      </c>
      <c r="K77" s="94" t="str">
        <f t="shared" si="41"/>
        <v>Jan</v>
      </c>
      <c r="L77" s="94" t="str">
        <f t="shared" si="41"/>
        <v>Feb</v>
      </c>
      <c r="M77" s="94" t="str">
        <f t="shared" si="41"/>
        <v xml:space="preserve">March </v>
      </c>
      <c r="N77" s="94" t="str">
        <f t="shared" si="41"/>
        <v>Apr</v>
      </c>
      <c r="O77" s="94" t="str">
        <f t="shared" si="41"/>
        <v>May</v>
      </c>
      <c r="P77" s="94" t="str">
        <f t="shared" si="41"/>
        <v>June</v>
      </c>
      <c r="Q77" s="94" t="str">
        <f t="shared" si="41"/>
        <v>total peak use</v>
      </c>
    </row>
    <row r="78" spans="2:17">
      <c r="B78" t="s">
        <v>533</v>
      </c>
      <c r="G78" s="44">
        <f>G32/'Water and power req'!$C$11</f>
        <v>0</v>
      </c>
      <c r="H78" s="44">
        <f>H32/'Water and power req'!$C$11</f>
        <v>3.6977777777777998</v>
      </c>
      <c r="I78" s="44">
        <f>I32/'Water and power req'!$C$11</f>
        <v>167.92222222222225</v>
      </c>
      <c r="J78" s="44">
        <f>J32/'Water and power req'!$C$11</f>
        <v>182.91333333333327</v>
      </c>
      <c r="K78" s="44">
        <f>K32/'Water and power req'!$C$11</f>
        <v>218.85777777777795</v>
      </c>
      <c r="L78" s="44">
        <f>L32/'Water and power req'!$C$11</f>
        <v>112.45777777777784</v>
      </c>
      <c r="M78" s="44">
        <f>M32/'Water and power req'!$C$11</f>
        <v>162.27888888888893</v>
      </c>
      <c r="N78" s="44">
        <f>N32/'Water and power req'!$C$11</f>
        <v>137.10000000000011</v>
      </c>
      <c r="O78" s="44">
        <f>O32/'Water and power req'!$C$11</f>
        <v>0</v>
      </c>
      <c r="P78" s="7"/>
      <c r="Q78" s="7"/>
    </row>
    <row r="79" spans="2:17">
      <c r="B79" t="str">
        <f t="shared" ref="B79:B90" si="42">B64</f>
        <v>Tariff 22A, 24 - 10 hours of peak per weekday</v>
      </c>
      <c r="G79" s="44"/>
      <c r="H79" s="44"/>
      <c r="I79" s="44"/>
      <c r="J79" s="44"/>
      <c r="K79" s="44"/>
      <c r="L79" s="44"/>
      <c r="M79" s="44"/>
      <c r="N79" s="44"/>
      <c r="O79" s="44"/>
      <c r="P79" s="7"/>
      <c r="Q79" s="7"/>
    </row>
    <row r="80" spans="2:17">
      <c r="B80" t="str">
        <f t="shared" si="42"/>
        <v xml:space="preserve">    Offpeak hours per month </v>
      </c>
      <c r="G80" s="44">
        <f>G65</f>
        <v>510</v>
      </c>
      <c r="H80" s="44">
        <f t="shared" ref="H80:O80" si="43">H65</f>
        <v>524</v>
      </c>
      <c r="I80" s="44">
        <f t="shared" si="43"/>
        <v>510</v>
      </c>
      <c r="J80" s="44">
        <f t="shared" si="43"/>
        <v>524</v>
      </c>
      <c r="K80" s="44">
        <f t="shared" si="43"/>
        <v>524</v>
      </c>
      <c r="L80" s="44">
        <f t="shared" si="43"/>
        <v>472</v>
      </c>
      <c r="M80" s="44">
        <f t="shared" si="43"/>
        <v>524</v>
      </c>
      <c r="N80" s="44">
        <f t="shared" si="43"/>
        <v>510</v>
      </c>
      <c r="O80" s="44">
        <f t="shared" si="43"/>
        <v>524</v>
      </c>
      <c r="P80" s="7"/>
      <c r="Q80" s="7"/>
    </row>
    <row r="81" spans="2:17">
      <c r="B81" t="str">
        <f t="shared" si="42"/>
        <v xml:space="preserve">    Requirement to use peak power</v>
      </c>
      <c r="G81" s="44" t="str">
        <f>IF(G80-G78&gt;0,"NO","YES")</f>
        <v>NO</v>
      </c>
      <c r="H81" s="44" t="str">
        <f t="shared" ref="H81:O81" si="44">IF(H80-H78&gt;0,"NO","YES")</f>
        <v>NO</v>
      </c>
      <c r="I81" s="44" t="str">
        <f t="shared" si="44"/>
        <v>NO</v>
      </c>
      <c r="J81" s="44" t="str">
        <f t="shared" si="44"/>
        <v>NO</v>
      </c>
      <c r="K81" s="44" t="str">
        <f t="shared" si="44"/>
        <v>NO</v>
      </c>
      <c r="L81" s="44" t="str">
        <f t="shared" si="44"/>
        <v>NO</v>
      </c>
      <c r="M81" s="44" t="str">
        <f t="shared" si="44"/>
        <v>NO</v>
      </c>
      <c r="N81" s="44" t="str">
        <f t="shared" si="44"/>
        <v>NO</v>
      </c>
      <c r="O81" s="44" t="str">
        <f t="shared" si="44"/>
        <v>NO</v>
      </c>
      <c r="P81" s="7"/>
      <c r="Q81" s="7"/>
    </row>
    <row r="82" spans="2:17">
      <c r="B82" t="str">
        <f t="shared" si="42"/>
        <v xml:space="preserve">    Amount of peak power required (kWh)</v>
      </c>
      <c r="G82" s="44" t="str">
        <f>IF(G81="NO","NA",(G78-G80)*'Water and power req'!$C$11)</f>
        <v>NA</v>
      </c>
      <c r="H82" s="44" t="str">
        <f>IF(H81="NO","NA",(H78-H80)*'Water and power req'!$C$11)</f>
        <v>NA</v>
      </c>
      <c r="I82" s="44" t="str">
        <f>IF(I81="NO","NA",(I78-I80)*'Water and power req'!$C$11)</f>
        <v>NA</v>
      </c>
      <c r="J82" s="44" t="str">
        <f>IF(J81="NO","NA",(J78-J80)*'Water and power req'!$C$11)</f>
        <v>NA</v>
      </c>
      <c r="K82" s="44" t="str">
        <f>IF(K81="NO","NA",(K78-K80)*'Water and power req'!$C$11)</f>
        <v>NA</v>
      </c>
      <c r="L82" s="44" t="str">
        <f>IF(L81="NO","NA",(L78-L80)*'Water and power req'!$C$11)</f>
        <v>NA</v>
      </c>
      <c r="M82" s="44" t="str">
        <f>IF(M81="NO","NA",(M78-M80)*'Water and power req'!$C$11)</f>
        <v>NA</v>
      </c>
      <c r="N82" s="44" t="str">
        <f>IF(N81="NO","NA",(N78-N80)*'Water and power req'!$C$11)</f>
        <v>NA</v>
      </c>
      <c r="O82" s="44" t="str">
        <f>IF(O81="NO","NA",(O78-O80)*'Water and power req'!$C$11)</f>
        <v>NA</v>
      </c>
      <c r="P82" s="7"/>
      <c r="Q82" s="7">
        <f t="shared" ref="Q82:Q90" si="45">SUM(G82:P82)</f>
        <v>0</v>
      </c>
    </row>
    <row r="83" spans="2:17">
      <c r="B83" t="str">
        <f t="shared" si="42"/>
        <v>Tariff 65 - 12 hours of peak per day</v>
      </c>
      <c r="G83" s="44"/>
      <c r="H83" s="44"/>
      <c r="I83" s="44"/>
      <c r="J83" s="44"/>
      <c r="K83" s="44"/>
      <c r="L83" s="44"/>
      <c r="M83" s="44"/>
      <c r="N83" s="44"/>
      <c r="O83" s="44"/>
      <c r="P83" s="7"/>
      <c r="Q83" s="7"/>
    </row>
    <row r="84" spans="2:17">
      <c r="B84" t="str">
        <f t="shared" si="42"/>
        <v xml:space="preserve">    Offpeak hours per month </v>
      </c>
      <c r="G84" s="44">
        <f>G69</f>
        <v>360</v>
      </c>
      <c r="H84" s="44">
        <f t="shared" ref="H84:O84" si="46">H69</f>
        <v>372</v>
      </c>
      <c r="I84" s="44">
        <f t="shared" si="46"/>
        <v>360</v>
      </c>
      <c r="J84" s="44">
        <f t="shared" si="46"/>
        <v>372</v>
      </c>
      <c r="K84" s="44">
        <f t="shared" si="46"/>
        <v>372</v>
      </c>
      <c r="L84" s="44">
        <f t="shared" si="46"/>
        <v>336</v>
      </c>
      <c r="M84" s="44">
        <f t="shared" si="46"/>
        <v>372</v>
      </c>
      <c r="N84" s="44">
        <f t="shared" si="46"/>
        <v>360</v>
      </c>
      <c r="O84" s="44">
        <f t="shared" si="46"/>
        <v>372</v>
      </c>
      <c r="P84" s="7"/>
      <c r="Q84" s="7"/>
    </row>
    <row r="85" spans="2:17">
      <c r="B85" t="str">
        <f t="shared" si="42"/>
        <v xml:space="preserve">    Requirement to use peak power</v>
      </c>
      <c r="G85" s="44" t="str">
        <f>IF(G84-G78&gt;0,"NO","YES")</f>
        <v>NO</v>
      </c>
      <c r="H85" s="44" t="str">
        <f t="shared" ref="H85:O85" si="47">IF(H84-H78&gt;0,"NO","YES")</f>
        <v>NO</v>
      </c>
      <c r="I85" s="44" t="str">
        <f t="shared" si="47"/>
        <v>NO</v>
      </c>
      <c r="J85" s="44" t="str">
        <f t="shared" si="47"/>
        <v>NO</v>
      </c>
      <c r="K85" s="44" t="str">
        <f t="shared" si="47"/>
        <v>NO</v>
      </c>
      <c r="L85" s="44" t="str">
        <f t="shared" si="47"/>
        <v>NO</v>
      </c>
      <c r="M85" s="44" t="str">
        <f t="shared" si="47"/>
        <v>NO</v>
      </c>
      <c r="N85" s="44" t="str">
        <f t="shared" si="47"/>
        <v>NO</v>
      </c>
      <c r="O85" s="44" t="str">
        <f t="shared" si="47"/>
        <v>NO</v>
      </c>
      <c r="P85" s="7"/>
      <c r="Q85" s="7"/>
    </row>
    <row r="86" spans="2:17">
      <c r="B86" t="str">
        <f t="shared" si="42"/>
        <v xml:space="preserve">    Amount of peak power required (kWh)</v>
      </c>
      <c r="G86" s="44" t="str">
        <f>IF(G85="NO","NA",(G78-G84)*'Water and power req'!$C$11)</f>
        <v>NA</v>
      </c>
      <c r="H86" s="44" t="str">
        <f>IF(H85="NO","NA",(H78-H84)*'Water and power req'!$C$11)</f>
        <v>NA</v>
      </c>
      <c r="I86" s="44" t="str">
        <f>IF(I85="NO","NA",(I78-I84)*'Water and power req'!$C$11)</f>
        <v>NA</v>
      </c>
      <c r="J86" s="44" t="str">
        <f>IF(J85="NO","NA",(J78-J84)*'Water and power req'!$C$11)</f>
        <v>NA</v>
      </c>
      <c r="K86" s="44" t="str">
        <f>IF(K85="NO","NA",(K78-K84)*'Water and power req'!$C$11)</f>
        <v>NA</v>
      </c>
      <c r="L86" s="44" t="str">
        <f>IF(L85="NO","NA",(L78-L84)*'Water and power req'!$C$11)</f>
        <v>NA</v>
      </c>
      <c r="M86" s="44" t="str">
        <f>IF(M85="NO","NA",(M78-M84)*'Water and power req'!$C$11)</f>
        <v>NA</v>
      </c>
      <c r="N86" s="44" t="str">
        <f>IF(N85="NO","NA",(N78-N84)*'Water and power req'!$C$11)</f>
        <v>NA</v>
      </c>
      <c r="O86" s="44" t="str">
        <f>IF(O85="NO","NA",(O78-O84)*'Water and power req'!$C$11)</f>
        <v>NA</v>
      </c>
      <c r="P86" s="7"/>
      <c r="Q86" s="7">
        <f t="shared" si="45"/>
        <v>0</v>
      </c>
    </row>
    <row r="87" spans="2:17">
      <c r="B87" t="str">
        <f t="shared" si="42"/>
        <v>Tariff 62 - 14 hours of peak per weekday</v>
      </c>
      <c r="G87" s="44"/>
      <c r="H87" s="44"/>
      <c r="I87" s="44"/>
      <c r="J87" s="44"/>
      <c r="K87" s="44"/>
      <c r="L87" s="44"/>
      <c r="M87" s="44"/>
      <c r="N87" s="44"/>
      <c r="O87" s="44"/>
      <c r="P87" s="7"/>
      <c r="Q87" s="7"/>
    </row>
    <row r="88" spans="2:17">
      <c r="B88" t="str">
        <f t="shared" si="42"/>
        <v xml:space="preserve">    Offpeak hours per month </v>
      </c>
      <c r="G88" s="44">
        <f>G73</f>
        <v>426</v>
      </c>
      <c r="H88" s="44">
        <f t="shared" ref="H88:O88" si="48">H73</f>
        <v>436</v>
      </c>
      <c r="I88" s="44">
        <f t="shared" si="48"/>
        <v>426</v>
      </c>
      <c r="J88" s="44">
        <f t="shared" si="48"/>
        <v>436</v>
      </c>
      <c r="K88" s="44">
        <f t="shared" si="48"/>
        <v>436</v>
      </c>
      <c r="L88" s="44">
        <f t="shared" si="48"/>
        <v>406</v>
      </c>
      <c r="M88" s="44">
        <f t="shared" si="48"/>
        <v>436</v>
      </c>
      <c r="N88" s="44">
        <f t="shared" si="48"/>
        <v>426</v>
      </c>
      <c r="O88" s="44">
        <f t="shared" si="48"/>
        <v>436</v>
      </c>
      <c r="P88" s="7"/>
      <c r="Q88" s="7"/>
    </row>
    <row r="89" spans="2:17">
      <c r="B89" t="str">
        <f t="shared" si="42"/>
        <v xml:space="preserve">    Requirement to use peak power</v>
      </c>
      <c r="G89" s="44" t="str">
        <f>IF(G88-G78&gt;0,"NO","YES")</f>
        <v>NO</v>
      </c>
      <c r="H89" s="44" t="str">
        <f t="shared" ref="H89:O89" si="49">IF(H88-H78&gt;0,"NO","YES")</f>
        <v>NO</v>
      </c>
      <c r="I89" s="44" t="str">
        <f t="shared" si="49"/>
        <v>NO</v>
      </c>
      <c r="J89" s="44" t="str">
        <f t="shared" si="49"/>
        <v>NO</v>
      </c>
      <c r="K89" s="44" t="str">
        <f t="shared" si="49"/>
        <v>NO</v>
      </c>
      <c r="L89" s="44" t="str">
        <f t="shared" si="49"/>
        <v>NO</v>
      </c>
      <c r="M89" s="44" t="str">
        <f t="shared" si="49"/>
        <v>NO</v>
      </c>
      <c r="N89" s="44" t="str">
        <f t="shared" si="49"/>
        <v>NO</v>
      </c>
      <c r="O89" s="44" t="str">
        <f t="shared" si="49"/>
        <v>NO</v>
      </c>
      <c r="P89" s="7"/>
      <c r="Q89" s="7"/>
    </row>
    <row r="90" spans="2:17">
      <c r="B90" t="str">
        <f t="shared" si="42"/>
        <v xml:space="preserve">    Amount of peak power required (kWh)</v>
      </c>
      <c r="G90" s="44" t="str">
        <f>IF(G89="NO","NA",(G78-G88)*'Water and power req'!$C$11)</f>
        <v>NA</v>
      </c>
      <c r="H90" s="44" t="str">
        <f>IF(H89="NO","NA",(H78-H88)*'Water and power req'!$C$11)</f>
        <v>NA</v>
      </c>
      <c r="I90" s="44" t="str">
        <f>IF(I89="NO","NA",(I78-I88)*'Water and power req'!$C$11)</f>
        <v>NA</v>
      </c>
      <c r="J90" s="44" t="str">
        <f>IF(J89="NO","NA",(J78-J88)*'Water and power req'!$C$11)</f>
        <v>NA</v>
      </c>
      <c r="K90" s="44" t="str">
        <f>IF(K89="NO","NA",(K78-K88)*'Water and power req'!$C$11)</f>
        <v>NA</v>
      </c>
      <c r="L90" s="44" t="str">
        <f>IF(L89="NO","NA",(L78-L88)*'Water and power req'!$C$11)</f>
        <v>NA</v>
      </c>
      <c r="M90" s="44" t="str">
        <f>IF(M89="NO","NA",(M78-M88)*'Water and power req'!$C$11)</f>
        <v>NA</v>
      </c>
      <c r="N90" s="44" t="str">
        <f>IF(N89="NO","NA",(N78-N88)*'Water and power req'!$C$11)</f>
        <v>NA</v>
      </c>
      <c r="O90" s="44" t="str">
        <f>IF(O89="NO","NA",(O78-O88)*'Water and power req'!$C$11)</f>
        <v>NA</v>
      </c>
      <c r="P90" s="7"/>
      <c r="Q90" s="7">
        <f t="shared" si="45"/>
        <v>0</v>
      </c>
    </row>
    <row r="91" spans="2:17">
      <c r="G91" s="7"/>
      <c r="H91" s="7"/>
      <c r="I91" s="7"/>
      <c r="J91" s="7"/>
      <c r="K91" s="7"/>
      <c r="L91" s="7"/>
      <c r="M91" s="7"/>
      <c r="N91" s="7"/>
      <c r="O91" s="7"/>
      <c r="P91" s="7"/>
    </row>
    <row r="92" spans="2:17">
      <c r="B92" s="32" t="s">
        <v>156</v>
      </c>
      <c r="C92" s="32"/>
      <c r="D92" s="32"/>
      <c r="E92" s="94" t="str">
        <f t="shared" ref="E92:P92" si="50">E3</f>
        <v>July</v>
      </c>
      <c r="F92" s="94" t="str">
        <f t="shared" si="50"/>
        <v>August</v>
      </c>
      <c r="G92" s="94" t="str">
        <f t="shared" si="50"/>
        <v>Sept</v>
      </c>
      <c r="H92" s="94" t="str">
        <f t="shared" si="50"/>
        <v>Oct</v>
      </c>
      <c r="I92" s="94" t="str">
        <f t="shared" si="50"/>
        <v xml:space="preserve">Nov </v>
      </c>
      <c r="J92" s="94" t="str">
        <f t="shared" si="50"/>
        <v>Dec</v>
      </c>
      <c r="K92" s="94" t="str">
        <f t="shared" si="50"/>
        <v>Jan</v>
      </c>
      <c r="L92" s="94" t="str">
        <f t="shared" si="50"/>
        <v>Feb</v>
      </c>
      <c r="M92" s="94" t="str">
        <f t="shared" si="50"/>
        <v xml:space="preserve">March </v>
      </c>
      <c r="N92" s="94" t="str">
        <f t="shared" si="50"/>
        <v>Apr</v>
      </c>
      <c r="O92" s="94" t="str">
        <f t="shared" si="50"/>
        <v>May</v>
      </c>
      <c r="P92" s="94" t="str">
        <f t="shared" si="50"/>
        <v>June</v>
      </c>
    </row>
    <row r="93" spans="2:17">
      <c r="B93" t="s">
        <v>429</v>
      </c>
      <c r="G93" s="7">
        <f t="shared" ref="G93:O93" si="51">G24</f>
        <v>56</v>
      </c>
      <c r="H93" s="7">
        <f t="shared" si="51"/>
        <v>58</v>
      </c>
      <c r="I93" s="7">
        <f t="shared" si="51"/>
        <v>116</v>
      </c>
      <c r="J93" s="7">
        <f t="shared" si="51"/>
        <v>111</v>
      </c>
      <c r="K93" s="7">
        <f t="shared" si="51"/>
        <v>121</v>
      </c>
      <c r="L93" s="7">
        <f t="shared" si="51"/>
        <v>96</v>
      </c>
      <c r="M93" s="7">
        <f t="shared" si="51"/>
        <v>113</v>
      </c>
      <c r="N93" s="7">
        <f t="shared" si="51"/>
        <v>110</v>
      </c>
      <c r="O93" s="7">
        <f t="shared" si="51"/>
        <v>56</v>
      </c>
      <c r="P93" s="7"/>
    </row>
    <row r="94" spans="2:17">
      <c r="B94" t="s">
        <v>430</v>
      </c>
      <c r="G94" s="7">
        <f t="shared" ref="G94:O94" si="52">ROUNDUP(G21/G5/G4/0.8,0)</f>
        <v>17</v>
      </c>
      <c r="H94" s="7">
        <f t="shared" si="52"/>
        <v>41</v>
      </c>
      <c r="I94" s="7">
        <f t="shared" si="52"/>
        <v>82</v>
      </c>
      <c r="J94" s="7">
        <f t="shared" si="52"/>
        <v>78</v>
      </c>
      <c r="K94" s="7">
        <f t="shared" si="52"/>
        <v>85</v>
      </c>
      <c r="L94" s="7">
        <f t="shared" si="52"/>
        <v>68</v>
      </c>
      <c r="M94" s="7">
        <f t="shared" si="52"/>
        <v>79</v>
      </c>
      <c r="N94" s="7">
        <f t="shared" si="52"/>
        <v>77</v>
      </c>
      <c r="O94" s="7">
        <f t="shared" si="52"/>
        <v>24</v>
      </c>
      <c r="P94" s="7"/>
    </row>
    <row r="95" spans="2:17">
      <c r="C95" t="s">
        <v>431</v>
      </c>
      <c r="D95" t="s">
        <v>432</v>
      </c>
      <c r="G95" s="7">
        <f>'Capital &amp; operating cost solar'!$E$71</f>
        <v>50</v>
      </c>
      <c r="H95" s="7">
        <f>'Capital &amp; operating cost solar'!$E$71</f>
        <v>50</v>
      </c>
      <c r="I95" s="7">
        <f>'Capital &amp; operating cost solar'!$E$71</f>
        <v>50</v>
      </c>
      <c r="J95" s="7">
        <f>'Capital &amp; operating cost solar'!$E$71</f>
        <v>50</v>
      </c>
      <c r="K95" s="7">
        <f>'Capital &amp; operating cost solar'!$E$71</f>
        <v>50</v>
      </c>
      <c r="L95" s="7">
        <f>'Capital &amp; operating cost solar'!$E$71</f>
        <v>50</v>
      </c>
      <c r="M95" s="7">
        <f>'Capital &amp; operating cost solar'!$E$71</f>
        <v>50</v>
      </c>
      <c r="N95" s="7">
        <f>'Capital &amp; operating cost solar'!$E$71</f>
        <v>50</v>
      </c>
      <c r="O95" s="7">
        <f>'Capital &amp; operating cost solar'!$E$71</f>
        <v>50</v>
      </c>
      <c r="P95" s="7"/>
    </row>
    <row r="96" spans="2:17">
      <c r="D96" t="s">
        <v>433</v>
      </c>
      <c r="G96" s="7">
        <f t="shared" ref="G96:O96" si="53">IF(G11&gt;G4*100,3,2)</f>
        <v>2</v>
      </c>
      <c r="H96" s="7">
        <f t="shared" si="53"/>
        <v>2</v>
      </c>
      <c r="I96" s="7">
        <f t="shared" si="53"/>
        <v>3</v>
      </c>
      <c r="J96" s="7">
        <f t="shared" si="53"/>
        <v>3</v>
      </c>
      <c r="K96" s="7">
        <f t="shared" si="53"/>
        <v>3</v>
      </c>
      <c r="L96" s="7">
        <f t="shared" si="53"/>
        <v>3</v>
      </c>
      <c r="M96" s="7">
        <f t="shared" si="53"/>
        <v>3</v>
      </c>
      <c r="N96" s="7">
        <f t="shared" si="53"/>
        <v>3</v>
      </c>
      <c r="O96" s="7">
        <f t="shared" si="53"/>
        <v>2</v>
      </c>
      <c r="P96" s="7"/>
    </row>
    <row r="97" spans="2:19">
      <c r="G97" s="7"/>
      <c r="H97" s="7"/>
      <c r="I97" s="7"/>
      <c r="J97" s="7"/>
      <c r="K97" s="7"/>
      <c r="L97" s="7"/>
      <c r="M97" s="7"/>
      <c r="N97" s="7"/>
      <c r="O97" s="7"/>
      <c r="P97" s="7"/>
    </row>
    <row r="98" spans="2:19">
      <c r="B98" s="32" t="s">
        <v>71</v>
      </c>
      <c r="C98" s="32"/>
      <c r="D98" s="32"/>
      <c r="E98" s="94" t="str">
        <f t="shared" ref="E98:P98" si="54">E3</f>
        <v>July</v>
      </c>
      <c r="F98" s="94" t="str">
        <f t="shared" si="54"/>
        <v>August</v>
      </c>
      <c r="G98" s="94" t="str">
        <f t="shared" si="54"/>
        <v>Sept</v>
      </c>
      <c r="H98" s="94" t="str">
        <f t="shared" si="54"/>
        <v>Oct</v>
      </c>
      <c r="I98" s="94" t="str">
        <f t="shared" si="54"/>
        <v xml:space="preserve">Nov </v>
      </c>
      <c r="J98" s="94" t="str">
        <f t="shared" si="54"/>
        <v>Dec</v>
      </c>
      <c r="K98" s="94" t="str">
        <f t="shared" si="54"/>
        <v>Jan</v>
      </c>
      <c r="L98" s="94" t="str">
        <f t="shared" si="54"/>
        <v>Feb</v>
      </c>
      <c r="M98" s="94" t="str">
        <f t="shared" si="54"/>
        <v xml:space="preserve">March </v>
      </c>
      <c r="N98" s="94" t="str">
        <f t="shared" si="54"/>
        <v>Apr</v>
      </c>
      <c r="O98" s="94" t="str">
        <f t="shared" si="54"/>
        <v>May</v>
      </c>
      <c r="P98" s="94" t="str">
        <f t="shared" si="54"/>
        <v>June</v>
      </c>
      <c r="Q98" s="43" t="s">
        <v>79</v>
      </c>
    </row>
    <row r="99" spans="2:19">
      <c r="B99" t="s">
        <v>130</v>
      </c>
      <c r="G99" s="7">
        <f>IF(G52="NA",(Tariffs!$E$6/100*G8)+(Tariffs!$D$22),((Tariffs!$D$6)/100*G52)+(Tariffs!$E$6/100*(G8-G52))+(Tariffs!$D$22))</f>
        <v>478.30693888888885</v>
      </c>
      <c r="H99" s="7">
        <f>IF(H52="NA",(Tariffs!$E$6/100*H8)+(Tariffs!$D$22),((Tariffs!$D$6)/100*H52)+(Tariffs!$E$6/100*(H8-H52))+(Tariffs!$D$22))</f>
        <v>1328.8664388888892</v>
      </c>
      <c r="I99" s="7">
        <f>IF(I52="NA",(Tariffs!$E$6/100*I8)+(Tariffs!$D$22),((Tariffs!$D$6)/100*I52)+(Tariffs!$E$6/100*(I8-I52))+(Tariffs!$D$22))</f>
        <v>2775.9827388888893</v>
      </c>
      <c r="J99" s="7">
        <f>IF(J52="NA",(Tariffs!$E$6/100*J8)+(Tariffs!$D$22),((Tariffs!$D$6)/100*J52)+(Tariffs!$E$6/100*(J8-J52))+(Tariffs!$D$22))</f>
        <v>3172.1337388888887</v>
      </c>
      <c r="K99" s="7">
        <f>IF(K52="NA",(Tariffs!$E$6/100*K8)+(Tariffs!$D$22),((Tariffs!$D$6)/100*K52)+(Tariffs!$E$6/100*(K8-K52))+(Tariffs!$D$22))</f>
        <v>3473.6745588888907</v>
      </c>
      <c r="L99" s="7">
        <f>IF(L52="NA",(Tariffs!$E$6/100*L8)+(Tariffs!$D$22),((Tariffs!$D$6)/100*L52)+(Tariffs!$E$6/100*(L8-L52))+(Tariffs!$D$22))</f>
        <v>2325.3027188888896</v>
      </c>
      <c r="M99" s="7">
        <f>IF(M52="NA",(Tariffs!$E$6/100*M8)+(Tariffs!$D$22),((Tariffs!$D$6)/100*M52)+(Tariffs!$E$6/100*(M8-M52))+(Tariffs!$D$22))</f>
        <v>2772.4872888888895</v>
      </c>
      <c r="N99" s="7">
        <f>IF(N52="NA",(Tariffs!$E$6/100*N8)+(Tariffs!$D$22),((Tariffs!$D$6)/100*N52)+(Tariffs!$E$6/100*(N8-N52))+(Tariffs!$D$22))</f>
        <v>2407.79533888889</v>
      </c>
      <c r="O99" s="7">
        <f>IF(O52="NA",(Tariffs!$E$6/100*O8)+(Tariffs!$D$22),((Tariffs!$D$6)/100*O52)+(Tariffs!$E$6/100*(O8-O52))+(Tariffs!$D$22))</f>
        <v>661.23548888888877</v>
      </c>
      <c r="P99" s="7"/>
      <c r="Q99" s="59">
        <f>SUM(E99:P99)</f>
        <v>19395.785250000004</v>
      </c>
      <c r="R99" t="s">
        <v>143</v>
      </c>
    </row>
    <row r="100" spans="2:19" s="32" customFormat="1">
      <c r="B100" t="s">
        <v>133</v>
      </c>
      <c r="C100"/>
      <c r="D100"/>
      <c r="E100"/>
      <c r="F100"/>
      <c r="G100" s="7">
        <f>IF(G60="NA",(Tariffs!$E$7/100*G8)+(Tariffs!$D$23),((Tariffs!$D$7)/100*G60)+(Tariffs!$E$7/100*(G8-G60))+(Tariffs!$D$23))</f>
        <v>316.66728888888889</v>
      </c>
      <c r="H100" s="7">
        <f>IF(H60="NA",(Tariffs!$E$7/100*H8)+(Tariffs!$D$23),((Tariffs!$D$7)/100*H60)+(Tariffs!$E$7/100*(H8-H60))+(Tariffs!$D$23))</f>
        <v>887.89228888888897</v>
      </c>
      <c r="I100" s="7">
        <f>IF(I60="NA",(Tariffs!$E$7/100*I8)+(Tariffs!$D$23),((Tariffs!$D$7)/100*I60)+(Tariffs!$E$7/100*(I8-I60))+(Tariffs!$D$23))</f>
        <v>1859.7572888888888</v>
      </c>
      <c r="J100" s="7">
        <f>IF(J60="NA",(Tariffs!$E$7/100*J8)+(Tariffs!$D$23),((Tariffs!$D$7)/100*J60)+(Tariffs!$E$7/100*(J8-J60))+(Tariffs!$D$23))</f>
        <v>2125.8072888888887</v>
      </c>
      <c r="K100" s="7">
        <f>IF(K60="NA",(Tariffs!$E$7/100*K8)+(Tariffs!$D$23),((Tariffs!$D$7)/100*K60)+(Tariffs!$E$7/100*(K8-K60))+(Tariffs!$D$23))</f>
        <v>2328.31828888889</v>
      </c>
      <c r="L100" s="7">
        <f>IF(L60="NA",(Tariffs!$E$7/100*L8)+(Tariffs!$D$23),((Tariffs!$D$7)/100*L60)+(Tariffs!$E$7/100*(L8-L60))+(Tariffs!$D$23))</f>
        <v>1557.0862888888892</v>
      </c>
      <c r="M100" s="7">
        <f>IF(M60="NA",(Tariffs!$E$7/100*M8)+(Tariffs!$D$23),((Tariffs!$D$7)/100*M60)+(Tariffs!$E$7/100*(M8-M60))+(Tariffs!$D$23))</f>
        <v>1857.4097888888891</v>
      </c>
      <c r="N100" s="7">
        <f>IF(N60="NA",(Tariffs!$E$7/100*N8)+(Tariffs!$D$23),((Tariffs!$D$7)/100*N60)+(Tariffs!$E$7/100*(N8-N60))+(Tariffs!$D$23))</f>
        <v>1612.4872888888895</v>
      </c>
      <c r="O100" s="7">
        <f>IF(O60="NA",(Tariffs!$E$7/100*O8)+(Tariffs!$D$23),((Tariffs!$D$7)/100*O60)+(Tariffs!$E$7/100*(O8-O60))+(Tariffs!$D$23))</f>
        <v>439.51978888888885</v>
      </c>
      <c r="P100" s="7"/>
      <c r="Q100" s="59">
        <f t="shared" ref="Q100:Q105" si="55">SUM(E100:P100)</f>
        <v>12984.945600000001</v>
      </c>
      <c r="R100" t="s">
        <v>143</v>
      </c>
    </row>
    <row r="101" spans="2:19">
      <c r="B101" t="s">
        <v>134</v>
      </c>
      <c r="G101" s="7">
        <f>IF(G56="NA",(Tariffs!$E$9/100*G8)+(Tariffs!$D$24),((Tariffs!$D$9)/100*G56)+(Tariffs!$E$9/100*(G8-G56))+(Tariffs!$D$24))</f>
        <v>386.13408888888893</v>
      </c>
      <c r="H101" s="7">
        <f>IF(H56="NA",(Tariffs!$E$9/100*H8)+(Tariffs!$D$24),((Tariffs!$D$9)/100*H56)+(Tariffs!$E$9/100*(H8-H56))+(Tariffs!$D$24))</f>
        <v>1095.9130888888892</v>
      </c>
      <c r="I101" s="7">
        <f>IF(I56="NA",(Tariffs!$E$9/100*I8)+(Tariffs!$D$24),((Tariffs!$D$9)/100*I56)+(Tariffs!$E$9/100*(I8-I56))+(Tariffs!$D$24))</f>
        <v>2303.5096888888893</v>
      </c>
      <c r="J101" s="7">
        <f>IF(J56="NA",(Tariffs!$E$9/100*J8)+(Tariffs!$D$24),((Tariffs!$D$9)/100*J56)+(Tariffs!$E$9/100*(J8-J56))+(Tariffs!$D$24))</f>
        <v>2634.0916888888887</v>
      </c>
      <c r="K101" s="7">
        <f>IF(K56="NA",(Tariffs!$E$9/100*K8)+(Tariffs!$D$24),((Tariffs!$D$9)/100*K56)+(Tariffs!$E$9/100*(K8-K56))+(Tariffs!$D$24))</f>
        <v>3090.6212088888915</v>
      </c>
      <c r="L101" s="7">
        <f>IF(L56="NA",(Tariffs!$E$9/100*L8)+(Tariffs!$D$24),((Tariffs!$D$9)/100*L56)+(Tariffs!$E$9/100*(L8-L56))+(Tariffs!$D$24))</f>
        <v>1927.4240488888895</v>
      </c>
      <c r="M101" s="7">
        <f>IF(M56="NA",(Tariffs!$E$9/100*M8)+(Tariffs!$D$24),((Tariffs!$D$9)/100*M56)+(Tariffs!$E$9/100*(M8-M56))+(Tariffs!$D$24))</f>
        <v>2300.5927888888896</v>
      </c>
      <c r="N101" s="7">
        <f>IF(N56="NA",(Tariffs!$E$9/100*N8)+(Tariffs!$D$24),((Tariffs!$D$9)/100*N56)+(Tariffs!$E$9/100*(N8-N56))+(Tariffs!$D$24))</f>
        <v>1996.2628888888898</v>
      </c>
      <c r="O101" s="7">
        <f>IF(O56="NA",(Tariffs!$E$9/100*O8)+(Tariffs!$D$24),((Tariffs!$D$9)/100*O56)+(Tariffs!$E$9/100*(O8-O56))+(Tariffs!$D$24))</f>
        <v>538.7851888888888</v>
      </c>
      <c r="P101" s="7"/>
      <c r="Q101" s="59">
        <f t="shared" si="55"/>
        <v>16273.334680000007</v>
      </c>
      <c r="R101" t="s">
        <v>143</v>
      </c>
    </row>
    <row r="102" spans="2:19">
      <c r="B102" t="s">
        <v>135</v>
      </c>
      <c r="G102" s="7">
        <f>(Tariffs!$D$13/100*G8)+(Tariffs!$D$25)</f>
        <v>710.91593055555552</v>
      </c>
      <c r="H102" s="7">
        <f>(Tariffs!$D$13/100*H8)+(Tariffs!$D$25)</f>
        <v>1386.3484305555558</v>
      </c>
      <c r="I102" s="7">
        <f>(Tariffs!$D$13/100*I8)+(Tariffs!$D$25)</f>
        <v>2535.5089305555557</v>
      </c>
      <c r="J102" s="7">
        <f>(Tariffs!$D$13/100*J8)+(Tariffs!$D$25)</f>
        <v>2850.0939305555553</v>
      </c>
      <c r="K102" s="7">
        <f>(Tariffs!$D$13/100*K8)+(Tariffs!$D$25)</f>
        <v>3089.5486305555569</v>
      </c>
      <c r="L102" s="7">
        <f>(Tariffs!$D$13/100*L8)+(Tariffs!$D$25)</f>
        <v>2177.6222305555557</v>
      </c>
      <c r="M102" s="7">
        <f>(Tariffs!$D$13/100*M8)+(Tariffs!$D$25)</f>
        <v>2532.7331805555559</v>
      </c>
      <c r="N102" s="7">
        <f>(Tariffs!$D$13/100*N8)+(Tariffs!$D$25)</f>
        <v>2243.1299305555563</v>
      </c>
      <c r="O102" s="7">
        <f>(Tariffs!$D$13/100*O8)+(Tariffs!$D$25)</f>
        <v>856.18018055555547</v>
      </c>
      <c r="P102" s="7"/>
      <c r="Q102" s="59">
        <f t="shared" si="55"/>
        <v>18382.081374999998</v>
      </c>
    </row>
    <row r="103" spans="2:19">
      <c r="B103" t="s">
        <v>327</v>
      </c>
      <c r="G103" s="7">
        <f>(Tariffs!$D$14/100*G8)+(Tariffs!$D$26)</f>
        <v>527.07643888888879</v>
      </c>
      <c r="H103" s="7">
        <f>(Tariffs!$D$14/100*H8)+(Tariffs!$D$26)</f>
        <v>1474.9084388888893</v>
      </c>
      <c r="I103" s="7">
        <f>(Tariffs!$D$14/100*I8)+(Tariffs!$D$26)</f>
        <v>3087.521238888889</v>
      </c>
      <c r="J103" s="7">
        <f>(Tariffs!$D$14/100*J8)+(Tariffs!$D$26)</f>
        <v>3528.9772388888887</v>
      </c>
      <c r="K103" s="7">
        <f>(Tariffs!$D$14/100*K8)+(Tariffs!$D$26)</f>
        <v>3865.003158888891</v>
      </c>
      <c r="L103" s="7">
        <f>(Tariffs!$D$14/100*L8)+(Tariffs!$D$26)</f>
        <v>2585.3001188888898</v>
      </c>
      <c r="M103" s="7">
        <f>(Tariffs!$D$14/100*M8)+(Tariffs!$D$26)</f>
        <v>3083.6260388888895</v>
      </c>
      <c r="N103" s="7">
        <f>(Tariffs!$D$14/100*N8)+(Tariffs!$D$26)</f>
        <v>2677.2268388888901</v>
      </c>
      <c r="O103" s="7">
        <f>(Tariffs!$D$14/100*O8)+(Tariffs!$D$26)</f>
        <v>730.92523888888877</v>
      </c>
      <c r="P103" s="7"/>
      <c r="Q103" s="59">
        <f t="shared" si="55"/>
        <v>21560.564750000009</v>
      </c>
    </row>
    <row r="104" spans="2:19">
      <c r="B104" t="s">
        <v>328</v>
      </c>
      <c r="G104" s="7">
        <f>(Tariffs!$D$17/100*G8)+(Tariffs!$D$27)+(IF(G51="No",3*Tariffs!$E$15,G52/10*Tariffs!$E$15))</f>
        <v>371.72868888888883</v>
      </c>
      <c r="H104" s="7">
        <f>(Tariffs!$D$17/100*H8)+(Tariffs!$D$27)+(IF(H51="No",3*Tariffs!$E$15,H52/10*Tariffs!$E$15))</f>
        <v>966.642188888889</v>
      </c>
      <c r="I104" s="7">
        <f>(Tariffs!$D$17/100*I8)+(Tariffs!$D$27)+(IF(I51="No",3*Tariffs!$E$15,I52/10*Tariffs!$E$15))</f>
        <v>1978.8100888888889</v>
      </c>
      <c r="J104" s="65">
        <f>(Tariffs!$D$17/100*J8)+(Tariffs!$D$27)+(IF(J51="No",0,Summary!$F$9*Tariffs!$D$15))</f>
        <v>2214.0880888888883</v>
      </c>
      <c r="K104" s="65">
        <f>(Tariffs!$D$17/100*K8)+(Tariffs!$D$27)+(IF(K51="No",0,Summary!$F$9*Tariffs!$D$15))</f>
        <v>2424.99714888889</v>
      </c>
      <c r="L104" s="65">
        <f>(Tariffs!$D$17/100*L8)+(Tariffs!$D$27)+(IF(L51="No",0,Summary!$F$9*Tariffs!$D$15))</f>
        <v>1621.7824288888892</v>
      </c>
      <c r="M104" s="7">
        <f>(Tariffs!$D$17/100*M8)+(Tariffs!$D$27)+(IF(M51="No",3*Tariffs!$E$15,M52/10*Tariffs!$E$15))</f>
        <v>1976.3652388888891</v>
      </c>
      <c r="N104" s="7">
        <f>(Tariffs!$D$17/100*N8)+(Tariffs!$D$27)+(IF(N51="No",3*Tariffs!$E$15,N52/10*Tariffs!$E$15))</f>
        <v>1721.2858888888895</v>
      </c>
      <c r="O104" s="7">
        <f>(Tariffs!$D$17/100*O8)+(Tariffs!$D$27)+(IF(O51="No",3*Tariffs!$E$15,O52/10*Tariffs!$E$15))</f>
        <v>499.67583888888879</v>
      </c>
      <c r="P104" s="7"/>
      <c r="Q104" s="59">
        <f>SUM(E104:P104)</f>
        <v>13775.375600000001</v>
      </c>
      <c r="R104" t="s">
        <v>510</v>
      </c>
    </row>
    <row r="105" spans="2:19">
      <c r="B105" t="s">
        <v>283</v>
      </c>
      <c r="G105" s="7">
        <f>(Tariffs!$D$18/100*G8)+(Tariffs!$D$28)</f>
        <v>417.13003888888886</v>
      </c>
      <c r="H105" s="7">
        <f>(Tariffs!$D$18/100*H8)+(Tariffs!$D$28)</f>
        <v>1145.6700388888892</v>
      </c>
      <c r="I105" s="7">
        <f>(Tariffs!$D$18/100*I8)+(Tariffs!$D$28)</f>
        <v>2385.186038888889</v>
      </c>
      <c r="J105" s="7">
        <f>(Tariffs!$D$18/100*J8)+(Tariffs!$D$28)</f>
        <v>2724.5060388888887</v>
      </c>
      <c r="K105" s="7">
        <f>(Tariffs!$D$18/100*K8)+(Tariffs!$D$28)</f>
        <v>2982.7884388888906</v>
      </c>
      <c r="L105" s="7">
        <f>(Tariffs!$D$18/100*L8)+(Tariffs!$D$28)</f>
        <v>1999.1596388888893</v>
      </c>
      <c r="M105" s="7">
        <f>(Tariffs!$D$18/100*M8)+(Tariffs!$D$28)</f>
        <v>2382.1920388888893</v>
      </c>
      <c r="N105" s="7">
        <f>(Tariffs!$D$18/100*N8)+(Tariffs!$D$28)</f>
        <v>2069.8180388888895</v>
      </c>
      <c r="O105" s="7">
        <f>(Tariffs!$D$18/100*O8)+(Tariffs!$D$28)</f>
        <v>573.8160388888889</v>
      </c>
      <c r="P105" s="7"/>
      <c r="Q105" s="59">
        <f t="shared" si="55"/>
        <v>16680.266350000005</v>
      </c>
    </row>
    <row r="106" spans="2:19">
      <c r="G106" s="7"/>
      <c r="H106" s="7"/>
      <c r="I106" s="7"/>
      <c r="J106" s="7"/>
      <c r="K106" s="7"/>
      <c r="L106" s="7"/>
      <c r="M106" s="7"/>
      <c r="N106" s="7"/>
      <c r="O106" s="7"/>
      <c r="P106" s="7"/>
      <c r="Q106" s="59"/>
    </row>
    <row r="107" spans="2:19" ht="29.25" customHeight="1">
      <c r="B107" s="205" t="s">
        <v>505</v>
      </c>
      <c r="C107" s="205"/>
      <c r="D107" s="205"/>
      <c r="E107" s="94" t="str">
        <f>E98</f>
        <v>July</v>
      </c>
      <c r="F107" s="94" t="str">
        <f t="shared" ref="F107:P107" si="56">F98</f>
        <v>August</v>
      </c>
      <c r="G107" s="94" t="str">
        <f t="shared" si="56"/>
        <v>Sept</v>
      </c>
      <c r="H107" s="94" t="str">
        <f t="shared" si="56"/>
        <v>Oct</v>
      </c>
      <c r="I107" s="94" t="str">
        <f t="shared" si="56"/>
        <v xml:space="preserve">Nov </v>
      </c>
      <c r="J107" s="94" t="str">
        <f t="shared" si="56"/>
        <v>Dec</v>
      </c>
      <c r="K107" s="94" t="str">
        <f t="shared" si="56"/>
        <v>Jan</v>
      </c>
      <c r="L107" s="94" t="str">
        <f t="shared" si="56"/>
        <v>Feb</v>
      </c>
      <c r="M107" s="94" t="str">
        <f t="shared" si="56"/>
        <v xml:space="preserve">March </v>
      </c>
      <c r="N107" s="94" t="str">
        <f t="shared" si="56"/>
        <v>Apr</v>
      </c>
      <c r="O107" s="94" t="str">
        <f t="shared" si="56"/>
        <v>May</v>
      </c>
      <c r="P107" s="94" t="str">
        <f t="shared" si="56"/>
        <v>June</v>
      </c>
      <c r="Q107" s="59"/>
      <c r="R107" s="205" t="s">
        <v>508</v>
      </c>
      <c r="S107" s="205"/>
    </row>
    <row r="108" spans="2:19">
      <c r="B108" t="str">
        <f>B99</f>
        <v>Cost of supply - tariff 22A ($)</v>
      </c>
      <c r="G108" s="7">
        <f>G99</f>
        <v>478.30693888888885</v>
      </c>
      <c r="H108" s="7">
        <f t="shared" ref="H108:O108" si="57">H99</f>
        <v>1328.8664388888892</v>
      </c>
      <c r="I108" s="65">
        <f>I99+((Tariffs!$D6-Tariffs!$E6)/100*2*I$4*Summary!$F$9)</f>
        <v>3293.4107388888892</v>
      </c>
      <c r="J108" s="65">
        <f>J99+((Tariffs!$D$6-Tariffs!$E$6)/100*2*J4*Summary!$F$9)</f>
        <v>3706.8093388888888</v>
      </c>
      <c r="K108" s="65">
        <f>K99+((Tariffs!$D$6-Tariffs!$E$6)/100*2*K4*Summary!$F$9)</f>
        <v>4008.3501588888907</v>
      </c>
      <c r="L108" s="65">
        <f>L99+((Tariffs!$D$6-Tariffs!$E$6)/100*2*L4*Summary!$F$9)</f>
        <v>2808.2355188888896</v>
      </c>
      <c r="M108" s="65">
        <f>M99+((Tariffs!$D$6-Tariffs!$E$6)/100*2*M4*Summary!$F$9)</f>
        <v>3307.1628888888895</v>
      </c>
      <c r="N108" s="65">
        <f>N99+((Tariffs!$D$6-Tariffs!$E$6)/100*2*N4*Summary!$F$9)</f>
        <v>2925.2233388888899</v>
      </c>
      <c r="O108" s="7">
        <f t="shared" si="57"/>
        <v>661.23548888888877</v>
      </c>
      <c r="P108" s="7"/>
      <c r="Q108" s="59">
        <f>SUM(E108:P108)</f>
        <v>22517.600849999999</v>
      </c>
      <c r="R108" s="7">
        <f>Q108-Q99</f>
        <v>3121.8155999999944</v>
      </c>
    </row>
    <row r="109" spans="2:19">
      <c r="B109" t="str">
        <f t="shared" ref="B109:B114" si="58">B100</f>
        <v>Cost of supply - tariff 62 ($)</v>
      </c>
      <c r="G109" s="7">
        <f t="shared" ref="G109:G113" si="59">G100</f>
        <v>316.66728888888889</v>
      </c>
      <c r="H109" s="7">
        <f t="shared" ref="H109:O109" si="60">H100</f>
        <v>887.89228888888897</v>
      </c>
      <c r="I109" s="65">
        <f>I100+((Tariffs!$D7-Tariffs!$E7)/100*2*I$4*Summary!$F$9)</f>
        <v>2477.7116888888886</v>
      </c>
      <c r="J109" s="65">
        <f>J100+((Tariffs!$D7-Tariffs!$E7)/100*2*J$4*Summary!$F$9)</f>
        <v>2764.3601688888889</v>
      </c>
      <c r="K109" s="65">
        <f>K100+((Tariffs!$D7-Tariffs!$E7)/100*2*K$4*Summary!$F$9)</f>
        <v>2966.8711688888902</v>
      </c>
      <c r="L109" s="65">
        <f>L100+((Tariffs!$D7-Tariffs!$E7)/100*2*L$4*Summary!$F$9)</f>
        <v>2133.843728888889</v>
      </c>
      <c r="M109" s="65">
        <f>M100+((Tariffs!$D7-Tariffs!$E7)/100*2*M$4*Summary!$F$9)</f>
        <v>2495.9626688888893</v>
      </c>
      <c r="N109" s="65">
        <f>N100+((Tariffs!$D7-Tariffs!$E7)/100*2*N$4*Summary!$F$9)</f>
        <v>2230.4416888888895</v>
      </c>
      <c r="O109" s="7">
        <f t="shared" si="60"/>
        <v>439.51978888888885</v>
      </c>
      <c r="P109" s="7"/>
      <c r="Q109" s="59">
        <f t="shared" ref="Q109:Q114" si="61">SUM(E109:P109)</f>
        <v>16713.270480000003</v>
      </c>
      <c r="R109" s="7">
        <f t="shared" ref="R109:R114" si="62">Q109-Q100</f>
        <v>3728.3248800000019</v>
      </c>
    </row>
    <row r="110" spans="2:19">
      <c r="B110" t="str">
        <f t="shared" si="58"/>
        <v>Cost of supply - tariff 65 ($)</v>
      </c>
      <c r="G110" s="7">
        <f t="shared" si="59"/>
        <v>386.13408888888893</v>
      </c>
      <c r="H110" s="7">
        <f t="shared" ref="H110:O110" si="63">H101</f>
        <v>1095.9130888888892</v>
      </c>
      <c r="I110" s="65">
        <f>I101+((Tariffs!$D9-Tariffs!$E9)/100*2*I$4*Summary!$F$9)</f>
        <v>2646.0640888888893</v>
      </c>
      <c r="J110" s="65">
        <f>J101+((Tariffs!$D9-Tariffs!$E9)/100*2*J$4*Summary!$F$9)</f>
        <v>2988.0645688888885</v>
      </c>
      <c r="K110" s="65">
        <f>K101+((Tariffs!$D9-Tariffs!$E9)/100*2*K$4*Summary!$F$9)</f>
        <v>3444.5940888888913</v>
      </c>
      <c r="L110" s="65">
        <f>L101+((Tariffs!$D9-Tariffs!$E9)/100*2*L$4*Summary!$F$9)</f>
        <v>2247.1414888888894</v>
      </c>
      <c r="M110" s="65">
        <f>M101+((Tariffs!$D9-Tariffs!$E9)/100*2*M$4*Summary!$F$9)</f>
        <v>2654.5656688888894</v>
      </c>
      <c r="N110" s="65">
        <f>N101+((Tariffs!$D9-Tariffs!$E9)/100*2*N$4*Summary!$F$9)</f>
        <v>2338.8172888888898</v>
      </c>
      <c r="O110" s="7">
        <f t="shared" si="63"/>
        <v>538.7851888888888</v>
      </c>
      <c r="P110" s="7"/>
      <c r="Q110" s="59">
        <f t="shared" si="61"/>
        <v>18340.079560000002</v>
      </c>
      <c r="R110" s="7">
        <f t="shared" si="62"/>
        <v>2066.7448799999947</v>
      </c>
    </row>
    <row r="111" spans="2:19">
      <c r="B111" t="str">
        <f t="shared" si="58"/>
        <v>Cost of supply - tariff 66 ($)</v>
      </c>
      <c r="G111" s="7">
        <f t="shared" si="59"/>
        <v>710.91593055555552</v>
      </c>
      <c r="H111" s="7">
        <f t="shared" ref="H111:O111" si="64">H102</f>
        <v>1386.3484305555558</v>
      </c>
      <c r="I111" s="65">
        <f>I102</f>
        <v>2535.5089305555557</v>
      </c>
      <c r="J111" s="65">
        <f t="shared" ref="J111:N111" si="65">J102</f>
        <v>2850.0939305555553</v>
      </c>
      <c r="K111" s="65">
        <f t="shared" si="65"/>
        <v>3089.5486305555569</v>
      </c>
      <c r="L111" s="65">
        <f t="shared" si="65"/>
        <v>2177.6222305555557</v>
      </c>
      <c r="M111" s="65">
        <f t="shared" si="65"/>
        <v>2532.7331805555559</v>
      </c>
      <c r="N111" s="65">
        <f t="shared" si="65"/>
        <v>2243.1299305555563</v>
      </c>
      <c r="O111" s="7">
        <f t="shared" si="64"/>
        <v>856.18018055555547</v>
      </c>
      <c r="P111" s="7"/>
      <c r="Q111" s="59">
        <f t="shared" si="61"/>
        <v>18382.081374999998</v>
      </c>
      <c r="R111" s="7">
        <f t="shared" si="62"/>
        <v>0</v>
      </c>
    </row>
    <row r="112" spans="2:19">
      <c r="B112" t="str">
        <f t="shared" si="58"/>
        <v>Shadow cost of grid power - tariff 20</v>
      </c>
      <c r="G112" s="7">
        <f t="shared" si="59"/>
        <v>527.07643888888879</v>
      </c>
      <c r="H112" s="7">
        <f t="shared" ref="H112:O112" si="66">H103</f>
        <v>1474.9084388888893</v>
      </c>
      <c r="I112" s="65">
        <f>I103</f>
        <v>3087.521238888889</v>
      </c>
      <c r="J112" s="65">
        <f t="shared" ref="J112:N112" si="67">J103</f>
        <v>3528.9772388888887</v>
      </c>
      <c r="K112" s="65">
        <f t="shared" si="67"/>
        <v>3865.003158888891</v>
      </c>
      <c r="L112" s="65">
        <f t="shared" si="67"/>
        <v>2585.3001188888898</v>
      </c>
      <c r="M112" s="65">
        <f t="shared" si="67"/>
        <v>3083.6260388888895</v>
      </c>
      <c r="N112" s="65">
        <f t="shared" si="67"/>
        <v>2677.2268388888901</v>
      </c>
      <c r="O112" s="7">
        <f t="shared" si="66"/>
        <v>730.92523888888877</v>
      </c>
      <c r="Q112" s="59">
        <f t="shared" si="61"/>
        <v>21560.564750000009</v>
      </c>
      <c r="R112" s="7">
        <f t="shared" si="62"/>
        <v>0</v>
      </c>
    </row>
    <row r="113" spans="2:20">
      <c r="B113" t="str">
        <f t="shared" si="58"/>
        <v>Shadow cost of grid power - tariff 24</v>
      </c>
      <c r="G113" s="7">
        <f t="shared" si="59"/>
        <v>371.72868888888883</v>
      </c>
      <c r="H113" s="7">
        <f t="shared" ref="H113:O113" si="68">H104</f>
        <v>966.642188888889</v>
      </c>
      <c r="I113" s="65">
        <f>I104</f>
        <v>1978.8100888888889</v>
      </c>
      <c r="J113" s="135">
        <f>J104+Summary!$F$9*Tariffs!$D$15</f>
        <v>5267.0320888888882</v>
      </c>
      <c r="K113" s="135">
        <f>K104+Summary!$F$9*Tariffs!$D$15</f>
        <v>5477.94114888889</v>
      </c>
      <c r="L113" s="135">
        <f>L104+Summary!$F$9*Tariffs!$D$15</f>
        <v>4674.7264288888891</v>
      </c>
      <c r="M113" s="65">
        <f t="shared" ref="M113:N113" si="69">M104</f>
        <v>1976.3652388888891</v>
      </c>
      <c r="N113" s="65">
        <f t="shared" si="69"/>
        <v>1721.2858888888895</v>
      </c>
      <c r="O113" s="7">
        <f t="shared" si="68"/>
        <v>499.67583888888879</v>
      </c>
      <c r="Q113" s="59">
        <f t="shared" si="61"/>
        <v>22934.207599999998</v>
      </c>
      <c r="R113" s="7">
        <f t="shared" si="62"/>
        <v>9158.8319999999967</v>
      </c>
    </row>
    <row r="114" spans="2:20">
      <c r="B114" t="str">
        <f t="shared" si="58"/>
        <v>Shadow cost of grid power - tariff 33</v>
      </c>
      <c r="G114" s="7">
        <f>G105</f>
        <v>417.13003888888886</v>
      </c>
      <c r="H114" s="7">
        <f t="shared" ref="H114:O114" si="70">H105</f>
        <v>1145.6700388888892</v>
      </c>
      <c r="I114" s="65">
        <f>I105</f>
        <v>2385.186038888889</v>
      </c>
      <c r="J114" s="65">
        <f t="shared" ref="J114:N114" si="71">J105</f>
        <v>2724.5060388888887</v>
      </c>
      <c r="K114" s="65">
        <f t="shared" si="71"/>
        <v>2982.7884388888906</v>
      </c>
      <c r="L114" s="65">
        <f t="shared" si="71"/>
        <v>1999.1596388888893</v>
      </c>
      <c r="M114" s="65">
        <f t="shared" si="71"/>
        <v>2382.1920388888893</v>
      </c>
      <c r="N114" s="65">
        <f t="shared" si="71"/>
        <v>2069.8180388888895</v>
      </c>
      <c r="O114" s="7">
        <f t="shared" si="70"/>
        <v>573.8160388888889</v>
      </c>
      <c r="P114" s="7"/>
      <c r="Q114" s="59">
        <f t="shared" si="61"/>
        <v>16680.266350000005</v>
      </c>
      <c r="R114" s="7">
        <f t="shared" si="62"/>
        <v>0</v>
      </c>
    </row>
    <row r="115" spans="2:20">
      <c r="G115" s="7"/>
      <c r="H115" s="7"/>
      <c r="I115" s="7"/>
      <c r="J115" s="7"/>
      <c r="K115" s="7"/>
      <c r="L115" s="7"/>
      <c r="M115" s="7"/>
      <c r="N115" s="7"/>
      <c r="O115" s="7"/>
      <c r="P115" s="7"/>
    </row>
    <row r="116" spans="2:20">
      <c r="B116" s="32" t="s">
        <v>136</v>
      </c>
      <c r="C116" s="32"/>
      <c r="D116" s="32"/>
      <c r="E116" s="94" t="str">
        <f t="shared" ref="E116:P116" si="72">E3</f>
        <v>July</v>
      </c>
      <c r="F116" s="94" t="str">
        <f t="shared" si="72"/>
        <v>August</v>
      </c>
      <c r="G116" s="94" t="str">
        <f t="shared" si="72"/>
        <v>Sept</v>
      </c>
      <c r="H116" s="94" t="str">
        <f t="shared" si="72"/>
        <v>Oct</v>
      </c>
      <c r="I116" s="94" t="str">
        <f t="shared" si="72"/>
        <v xml:space="preserve">Nov </v>
      </c>
      <c r="J116" s="94" t="str">
        <f t="shared" si="72"/>
        <v>Dec</v>
      </c>
      <c r="K116" s="94" t="str">
        <f t="shared" si="72"/>
        <v>Jan</v>
      </c>
      <c r="L116" s="94" t="str">
        <f t="shared" si="72"/>
        <v>Feb</v>
      </c>
      <c r="M116" s="94" t="str">
        <f t="shared" si="72"/>
        <v xml:space="preserve">March </v>
      </c>
      <c r="N116" s="94" t="str">
        <f t="shared" si="72"/>
        <v>Apr</v>
      </c>
      <c r="O116" s="94" t="str">
        <f t="shared" si="72"/>
        <v>May</v>
      </c>
      <c r="P116" s="94" t="str">
        <f t="shared" si="72"/>
        <v>June</v>
      </c>
      <c r="Q116" s="51" t="s">
        <v>144</v>
      </c>
    </row>
    <row r="117" spans="2:20">
      <c r="B117" t="s">
        <v>146</v>
      </c>
      <c r="G117" s="7">
        <f>IF($Q$11=0,0,IF(G67="NA",(Tariffs!$E$6/100*G11)+(Tariffs!$D$22),((Tariffs!$D$6)/100*G67)+(Tariffs!$E$6/100*(G11-G67))+(Tariffs!$D$22)))</f>
        <v>51.86203888888889</v>
      </c>
      <c r="H117" s="7">
        <f>IF($Q$11=0,0,IF(H67="NA",(Tariffs!$E$6/100*H11)+(Tariffs!$D$22),((Tariffs!$D$6)/100*H67)+(Tariffs!$E$6/100*(H11-H67))+(Tariffs!$D$22)))</f>
        <v>82.882992488889073</v>
      </c>
      <c r="I117" s="7">
        <f>IF($Q$11=0,0,IF(I67="NA",(Tariffs!$E$6/100*I11)+(Tariffs!$D$22),((Tariffs!$D$6)/100*I67)+(Tariffs!$E$6/100*(I11-I67))+(Tariffs!$D$22)))</f>
        <v>1460.5749948888893</v>
      </c>
      <c r="J117" s="7">
        <f>IF($Q$11=0,0,IF(J67="NA",(Tariffs!$E$6/100*J11)+(Tariffs!$D$22),((Tariffs!$D$6)/100*J67)+(Tariffs!$E$6/100*(J11-J67))+(Tariffs!$D$22)))</f>
        <v>1586.3366252888884</v>
      </c>
      <c r="K117" s="7">
        <f>IF($Q$11=0,0,IF(K67="NA",(Tariffs!$E$6/100*K11)+(Tariffs!$D$22),((Tariffs!$D$6)/100*K67)+(Tariffs!$E$6/100*(K11-K67))+(Tariffs!$D$22)))</f>
        <v>1887.8774452888906</v>
      </c>
      <c r="L117" s="7">
        <f>IF($Q$11=0,0,IF(L67="NA",(Tariffs!$E$6/100*L11)+(Tariffs!$D$22),((Tariffs!$D$6)/100*L67)+(Tariffs!$E$6/100*(L11-L67))+(Tariffs!$D$22)))</f>
        <v>995.27933328888957</v>
      </c>
      <c r="M117" s="7">
        <f>IF($Q$11=0,0,IF(M67="NA",(Tariffs!$E$6/100*M11)+(Tariffs!$D$22),((Tariffs!$D$6)/100*M67)+(Tariffs!$E$6/100*(M11-M67))+(Tariffs!$D$22)))</f>
        <v>1413.2326200888895</v>
      </c>
      <c r="N117" s="7">
        <f>IF($Q$11=0,0,IF(N67="NA",(Tariffs!$E$6/100*N11)+(Tariffs!$D$22),((Tariffs!$D$6)/100*N67)+(Tariffs!$E$6/100*(N11-N67))+(Tariffs!$D$22)))</f>
        <v>1202.00490688889</v>
      </c>
      <c r="O117" s="7">
        <f>IF($Q$11=0,0,IF(O67="NA",(Tariffs!$E$6/100*O11)+(Tariffs!$D$22),((Tariffs!$D$6)/100*O67)+(Tariffs!$E$6/100*(O11-O67))+(Tariffs!$D$22)))</f>
        <v>51.86203888888889</v>
      </c>
      <c r="P117" s="7"/>
      <c r="Q117" s="104">
        <f>SUM(E117:P117)</f>
        <v>8731.9129960000027</v>
      </c>
      <c r="T117" s="7"/>
    </row>
    <row r="118" spans="2:20" s="32" customFormat="1">
      <c r="B118" t="s">
        <v>147</v>
      </c>
      <c r="C118"/>
      <c r="D118"/>
      <c r="E118"/>
      <c r="F118"/>
      <c r="G118" s="7">
        <f>IF($Q$11=0,0,IF(G75="NA",(Tariffs!$E$7/100*G11)+(Tariffs!$D$23),((Tariffs!$D$7)/100*G75)+(Tariffs!$E$7/100*(G11-G75))+(Tariffs!$D$23)))</f>
        <v>30.272288888888891</v>
      </c>
      <c r="H118" s="7">
        <f>IF($Q$11=0,0,IF(H75="NA",(Tariffs!$E$7/100*H11)+(Tariffs!$D$23),((Tariffs!$D$7)/100*H75)+(Tariffs!$E$7/100*(H11-H75))+(Tariffs!$D$23)))</f>
        <v>51.105568888889017</v>
      </c>
      <c r="I118" s="7">
        <f>IF($Q$11=0,0,IF(I75="NA",(Tariffs!$E$7/100*I11)+(Tariffs!$D$23),((Tariffs!$D$7)/100*I75)+(Tariffs!$E$7/100*(I11-I75))+(Tariffs!$D$23)))</f>
        <v>976.34608888888897</v>
      </c>
      <c r="J118" s="7">
        <f>IF($Q$11=0,0,IF(J75="NA",(Tariffs!$E$7/100*J11)+(Tariffs!$D$23),((Tariffs!$D$7)/100*J75)+(Tariffs!$E$7/100*(J11-J75))+(Tariffs!$D$23)))</f>
        <v>1060.8060088888885</v>
      </c>
      <c r="K118" s="7">
        <f>IF($Q$11=0,0,IF(K75="NA",(Tariffs!$E$7/100*K11)+(Tariffs!$D$23),((Tariffs!$D$7)/100*K75)+(Tariffs!$E$7/100*(K11-K75))+(Tariffs!$D$23)))</f>
        <v>1263.3170088888899</v>
      </c>
      <c r="L118" s="7">
        <f>IF($Q$11=0,0,IF(L75="NA",(Tariffs!$E$7/100*L11)+(Tariffs!$D$23),((Tariffs!$D$7)/100*L75)+(Tariffs!$E$7/100*(L11-L75))+(Tariffs!$D$23)))</f>
        <v>663.85940888888922</v>
      </c>
      <c r="M118" s="7">
        <f>IF($Q$11=0,0,IF(M75="NA",(Tariffs!$E$7/100*M11)+(Tariffs!$D$23),((Tariffs!$D$7)/100*M75)+(Tariffs!$E$7/100*(M11-M75))+(Tariffs!$D$23)))</f>
        <v>944.5515488888891</v>
      </c>
      <c r="N118" s="7">
        <f>IF($Q$11=0,0,IF(N75="NA",(Tariffs!$E$7/100*N11)+(Tariffs!$D$23),((Tariffs!$D$7)/100*N75)+(Tariffs!$E$7/100*(N11-N75))+(Tariffs!$D$23)))</f>
        <v>802.69368888888948</v>
      </c>
      <c r="O118" s="7">
        <f>IF($Q$11=0,0,IF(O75="NA",(Tariffs!$E$7/100*O11)+(Tariffs!$D$23),((Tariffs!$D$7)/100*O75)+(Tariffs!$E$7/100*(O11-O75))+(Tariffs!$D$23)))</f>
        <v>30.272288888888891</v>
      </c>
      <c r="P118" s="7"/>
      <c r="Q118" s="104">
        <f t="shared" ref="Q118:Q123" si="73">SUM(E118:P118)</f>
        <v>5823.2239000000036</v>
      </c>
    </row>
    <row r="119" spans="2:20" s="32" customFormat="1">
      <c r="B119" t="s">
        <v>148</v>
      </c>
      <c r="C119"/>
      <c r="D119"/>
      <c r="E119"/>
      <c r="F119"/>
      <c r="G119" s="7">
        <f>IF($Q$11=0,0,IF(G71="NA",(Tariffs!$E$9/100*G11)+(Tariffs!$D$24),((Tariffs!$D$9)/100*G71)+(Tariffs!$E$9/100*(G11-G71))+(Tariffs!$D$24)))</f>
        <v>30.272288888888891</v>
      </c>
      <c r="H119" s="7">
        <f>IF($Q$11=0,0,IF(H71="NA",(Tariffs!$E$9/100*H11)+(Tariffs!$D$24),((Tariffs!$D$9)/100*H71)+(Tariffs!$E$9/100*(H11-H71))+(Tariffs!$D$24)))</f>
        <v>56.158804088889049</v>
      </c>
      <c r="I119" s="7">
        <f>IF($Q$11=0,0,IF(I71="NA",(Tariffs!$E$9/100*I11)+(Tariffs!$D$24),((Tariffs!$D$9)/100*I71)+(Tariffs!$E$9/100*(I11-I71))+(Tariffs!$D$24)))</f>
        <v>1205.8218808888892</v>
      </c>
      <c r="J119" s="7">
        <f>IF($Q$11=0,0,IF(J71="NA",(Tariffs!$E$9/100*J11)+(Tariffs!$D$24),((Tariffs!$D$9)/100*J71)+(Tariffs!$E$9/100*(J11-J71))+(Tariffs!$D$24)))</f>
        <v>1310.7680536888886</v>
      </c>
      <c r="K119" s="7">
        <f>IF($Q$11=0,0,IF(K71="NA",(Tariffs!$E$9/100*K11)+(Tariffs!$D$24),((Tariffs!$D$9)/100*K71)+(Tariffs!$E$9/100*(K11-K71))+(Tariffs!$D$24)))</f>
        <v>1562.3992936888903</v>
      </c>
      <c r="L119" s="7">
        <f>IF($Q$11=0,0,IF(L71="NA",(Tariffs!$E$9/100*L11)+(Tariffs!$D$24),((Tariffs!$D$9)/100*L71)+(Tariffs!$E$9/100*(L11-L71))+(Tariffs!$D$24)))</f>
        <v>817.53970968888939</v>
      </c>
      <c r="M119" s="7">
        <f>IF($Q$11=0,0,IF(M71="NA",(Tariffs!$E$9/100*M11)+(Tariffs!$D$24),((Tariffs!$D$9)/100*M71)+(Tariffs!$E$9/100*(M11-M71))+(Tariffs!$D$24)))</f>
        <v>1166.3153872888893</v>
      </c>
      <c r="N119" s="7">
        <f>IF($Q$11=0,0,IF(N71="NA",(Tariffs!$E$9/100*N11)+(Tariffs!$D$24),((Tariffs!$D$9)/100*N71)+(Tariffs!$E$9/100*(N11-N71))+(Tariffs!$D$24)))</f>
        <v>990.04906488888969</v>
      </c>
      <c r="O119" s="7">
        <f>IF($Q$11=0,0,IF(O71="NA",(Tariffs!$E$9/100*O11)+(Tariffs!$D$24),((Tariffs!$D$9)/100*O71)+(Tariffs!$E$9/100*(O11-O71))+(Tariffs!$D$24)))</f>
        <v>30.272288888888891</v>
      </c>
      <c r="P119" s="7"/>
      <c r="Q119" s="104">
        <f t="shared" si="73"/>
        <v>7169.5967720000044</v>
      </c>
      <c r="S119" s="66"/>
    </row>
    <row r="120" spans="2:20">
      <c r="B120" t="s">
        <v>149</v>
      </c>
      <c r="G120" s="7">
        <f>IF($Q$11=0,0,(Tariffs!$D$13/100*G11)+(Tariffs!$D$25))</f>
        <v>372.27443055555557</v>
      </c>
      <c r="H120" s="7">
        <f>IF($Q$11=0,0,(Tariffs!$D$13/100*H11)+(Tariffs!$D$25))</f>
        <v>396.90828655555572</v>
      </c>
      <c r="I120" s="7">
        <f>IF($Q$11=0,0,(Tariffs!$D$13/100*I11)+(Tariffs!$D$25))</f>
        <v>1490.9386905555557</v>
      </c>
      <c r="J120" s="7">
        <f>IF($Q$11=0,0,(Tariffs!$D$13/100*J11)+(Tariffs!$D$25))</f>
        <v>1590.8064745555548</v>
      </c>
      <c r="K120" s="7">
        <f>IF($Q$11=0,0,(Tariffs!$D$13/100*K11)+(Tariffs!$D$25))</f>
        <v>1830.2611745555569</v>
      </c>
      <c r="L120" s="7">
        <f>IF($Q$11=0,0,(Tariffs!$D$13/100*L11)+(Tariffs!$D$25))</f>
        <v>1121.4456545555558</v>
      </c>
      <c r="M120" s="7">
        <f>IF($Q$11=0,0,(Tariffs!$D$13/100*M11)+(Tariffs!$D$25))</f>
        <v>1453.343932555556</v>
      </c>
      <c r="N120" s="7">
        <f>IF($Q$11=0,0,(Tariffs!$D$13/100*N11)+(Tariffs!$D$25))</f>
        <v>1285.6072105555563</v>
      </c>
      <c r="O120" s="7">
        <f>IF($Q$11=0,0,(Tariffs!$D$13/100*O11)+(Tariffs!$D$25))</f>
        <v>372.27443055555557</v>
      </c>
      <c r="P120" s="7"/>
      <c r="Q120" s="104">
        <f t="shared" si="73"/>
        <v>9913.8602850000025</v>
      </c>
      <c r="R120" t="s">
        <v>262</v>
      </c>
    </row>
    <row r="121" spans="2:20">
      <c r="B121" t="s">
        <v>311</v>
      </c>
      <c r="G121" s="7">
        <f>IF($Q$11=0,0,(Tariffs!$D$14/100*G11)+(Tariffs!$D$26))</f>
        <v>51.86203888888889</v>
      </c>
      <c r="H121" s="7">
        <f>IF($Q$11=0,0,(Tariffs!$D$14/100*H11)+(Tariffs!$D$26))</f>
        <v>86.430640488889111</v>
      </c>
      <c r="I121" s="7">
        <f>IF($Q$11=0,0,(Tariffs!$D$14/100*I11)+(Tariffs!$D$26))</f>
        <v>1621.6795748888892</v>
      </c>
      <c r="J121" s="7">
        <f>IF($Q$11=0,0,(Tariffs!$D$14/100*J11)+(Tariffs!$D$26))</f>
        <v>1761.8236772888883</v>
      </c>
      <c r="K121" s="7">
        <f>IF($Q$11=0,0,(Tariffs!$D$14/100*K11)+(Tariffs!$D$26))</f>
        <v>2097.8495972888909</v>
      </c>
      <c r="L121" s="7">
        <f>IF($Q$11=0,0,(Tariffs!$D$14/100*L11)+(Tariffs!$D$26))</f>
        <v>1103.1713252888896</v>
      </c>
      <c r="M121" s="7">
        <f>IF($Q$11=0,0,(Tariffs!$D$14/100*M11)+(Tariffs!$D$26))</f>
        <v>1568.9229860888895</v>
      </c>
      <c r="N121" s="7">
        <f>IF($Q$11=0,0,(Tariffs!$D$14/100*N11)+(Tariffs!$D$26))</f>
        <v>1333.5386468888901</v>
      </c>
      <c r="O121" s="7">
        <f>IF($Q$11=0,0,(Tariffs!$D$14/100*O11)+(Tariffs!$D$26))</f>
        <v>51.86203888888889</v>
      </c>
      <c r="P121" s="7"/>
      <c r="Q121" s="104">
        <f t="shared" si="73"/>
        <v>9677.1405260000047</v>
      </c>
    </row>
    <row r="122" spans="2:20">
      <c r="B122" t="s">
        <v>373</v>
      </c>
      <c r="G122" s="7">
        <f>IF($Q$11=0,0,(Tariffs!$D$17/100*G11)+(Tariffs!$D$27)+(IF(G67="NA",3*Tariffs!$E$15,G67/10*Tariffs!$E$15)))</f>
        <v>73.456988888888887</v>
      </c>
      <c r="H122" s="7">
        <f>IF($Q$11=0,0,(Tariffs!$D$17/100*H11)+(Tariffs!$D$27)+(IF(H67="NA",3*Tariffs!$E$15,H67/10*Tariffs!$E$15)))</f>
        <v>95.15421768888902</v>
      </c>
      <c r="I122" s="7">
        <f>IF($Q$11=0,0,(Tariffs!$D$17/100*I11)+(Tariffs!$D$27)+(IF(I67="NA",3*Tariffs!$E$15,I67/10*Tariffs!$E$15)))</f>
        <v>1058.764136888889</v>
      </c>
      <c r="J122" s="65">
        <f>IF($Q$11=0,0,(Tariffs!$D$17/100*J11)+(Tariffs!$D$27)+(IF(J67="NA",0,Summary!$F$9*Tariffs!$D$15)))</f>
        <v>1104.9215800888883</v>
      </c>
      <c r="K122" s="65">
        <f>IF($Q$11=0,0,(Tariffs!$D$17/100*K11)+(Tariffs!$D$27)+(IF(K67="NA",0,Summary!$F$9*Tariffs!$D$15)))</f>
        <v>1315.8306400888898</v>
      </c>
      <c r="L122" s="65">
        <f>IF($Q$11=0,0,(Tariffs!$D$17/100*L11)+(Tariffs!$D$27)+(IF(L67="NA",0,Summary!$F$9*Tariffs!$D$15)))</f>
        <v>691.51374408888933</v>
      </c>
      <c r="M122" s="7">
        <f>IF($Q$11=0,0,(Tariffs!$D$17/100*M11)+(Tariffs!$D$27)+(IF(M67="NA",3*Tariffs!$E$15,M67/10*Tariffs!$E$15)))</f>
        <v>1025.6510884888892</v>
      </c>
      <c r="N122" s="7">
        <f>IF($Q$11=0,0,(Tariffs!$D$17/100*N11)+(Tariffs!$D$27)+(IF(N67="NA",3*Tariffs!$E$15,N67/10*Tariffs!$E$15)))</f>
        <v>877.91043288888955</v>
      </c>
      <c r="O122" s="7">
        <f>IF($Q$11=0,0,(Tariffs!$D$17/100*O11)+(Tariffs!$D$27)+(IF(O67="NA",3*Tariffs!$E$15,O67/10*Tariffs!$E$15)))</f>
        <v>73.456988888888887</v>
      </c>
      <c r="P122" s="7"/>
      <c r="Q122" s="104">
        <f t="shared" si="73"/>
        <v>6316.6598180000028</v>
      </c>
      <c r="R122" t="s">
        <v>374</v>
      </c>
    </row>
    <row r="123" spans="2:20">
      <c r="B123" t="s">
        <v>284</v>
      </c>
      <c r="G123" s="7">
        <f>IF($Q$11=0,0,(Tariffs!$D$18/100*G11)+(Tariffs!$D$28))</f>
        <v>51.86203888888889</v>
      </c>
      <c r="H123" s="7">
        <f>IF($Q$11=0,0,(Tariffs!$D$18/100*H11)+(Tariffs!$D$28))</f>
        <v>78.432790888889045</v>
      </c>
      <c r="I123" s="7">
        <f>IF($Q$11=0,0,(Tariffs!$D$18/100*I11)+(Tariffs!$D$28))</f>
        <v>1258.483958888889</v>
      </c>
      <c r="J123" s="7">
        <f>IF($Q$11=0,0,(Tariffs!$D$18/100*J11)+(Tariffs!$D$28))</f>
        <v>1366.2040868888885</v>
      </c>
      <c r="K123" s="7">
        <f>IF($Q$11=0,0,(Tariffs!$D$18/100*K11)+(Tariffs!$D$28))</f>
        <v>1624.4864868888903</v>
      </c>
      <c r="L123" s="7">
        <f>IF($Q$11=0,0,(Tariffs!$D$18/100*L11)+(Tariffs!$D$28))</f>
        <v>859.93864688888925</v>
      </c>
      <c r="M123" s="7">
        <f>IF($Q$11=0,0,(Tariffs!$D$18/100*M11)+(Tariffs!$D$28))</f>
        <v>1217.9332228888893</v>
      </c>
      <c r="N123" s="7">
        <f>IF($Q$11=0,0,(Tariffs!$D$18/100*N11)+(Tariffs!$D$28))</f>
        <v>1037.0077988888897</v>
      </c>
      <c r="O123" s="7">
        <f>IF($Q$11=0,0,(Tariffs!$D$18/100*O11)+(Tariffs!$D$28))</f>
        <v>51.86203888888889</v>
      </c>
      <c r="P123" s="7"/>
      <c r="Q123" s="104">
        <f t="shared" si="73"/>
        <v>7546.211070000003</v>
      </c>
    </row>
    <row r="124" spans="2:20">
      <c r="B124" t="s">
        <v>132</v>
      </c>
      <c r="G124" s="7">
        <f t="shared" ref="G124:O124" si="74">G11/G8%</f>
        <v>0</v>
      </c>
      <c r="H124" s="7">
        <f t="shared" si="74"/>
        <v>2.4291970802919849</v>
      </c>
      <c r="I124" s="7">
        <f t="shared" si="74"/>
        <v>51.712574850299404</v>
      </c>
      <c r="J124" s="7">
        <f t="shared" si="74"/>
        <v>49.177595220313655</v>
      </c>
      <c r="K124" s="7">
        <f t="shared" si="74"/>
        <v>53.656224461999479</v>
      </c>
      <c r="L124" s="7">
        <f t="shared" si="74"/>
        <v>41.497334973349751</v>
      </c>
      <c r="M124" s="7">
        <f t="shared" si="74"/>
        <v>50.038886509635986</v>
      </c>
      <c r="N124" s="7">
        <f t="shared" si="74"/>
        <v>48.818991097922869</v>
      </c>
      <c r="O124" s="7">
        <f t="shared" si="74"/>
        <v>0</v>
      </c>
      <c r="P124" s="7"/>
      <c r="Q124" s="104">
        <f>AVERAGE(E124:P124)</f>
        <v>33.036756021534792</v>
      </c>
      <c r="R124" t="s">
        <v>137</v>
      </c>
    </row>
    <row r="125" spans="2:20">
      <c r="B125" t="s">
        <v>131</v>
      </c>
      <c r="G125" s="7">
        <f>100-G124</f>
        <v>100</v>
      </c>
      <c r="H125" s="7">
        <f t="shared" ref="H125:O125" si="75">100-H124</f>
        <v>97.570802919708015</v>
      </c>
      <c r="I125" s="7">
        <f t="shared" si="75"/>
        <v>48.287425149700596</v>
      </c>
      <c r="J125" s="7">
        <f t="shared" si="75"/>
        <v>50.822404779686345</v>
      </c>
      <c r="K125" s="7">
        <f>100-K124</f>
        <v>46.343775538000521</v>
      </c>
      <c r="L125" s="7">
        <f t="shared" si="75"/>
        <v>58.502665026650249</v>
      </c>
      <c r="M125" s="7">
        <f t="shared" si="75"/>
        <v>49.961113490364014</v>
      </c>
      <c r="N125" s="7">
        <f t="shared" si="75"/>
        <v>51.181008902077131</v>
      </c>
      <c r="O125" s="7">
        <f t="shared" si="75"/>
        <v>100</v>
      </c>
      <c r="P125" s="7"/>
      <c r="Q125" s="104">
        <f>AVERAGE(E125:P125)</f>
        <v>66.963243978465201</v>
      </c>
      <c r="R125" t="s">
        <v>137</v>
      </c>
    </row>
    <row r="126" spans="2:20">
      <c r="B126" s="88" t="s">
        <v>377</v>
      </c>
      <c r="C126" s="39"/>
      <c r="D126" s="39"/>
      <c r="E126" s="39"/>
      <c r="F126" s="39"/>
      <c r="G126" s="7">
        <f>'Capital &amp; operating cost solar'!$D$14/9</f>
        <v>797.71924059004732</v>
      </c>
      <c r="H126" s="7">
        <f>'Capital &amp; operating cost solar'!$D$14/9</f>
        <v>797.71924059004732</v>
      </c>
      <c r="I126" s="7">
        <f>'Capital &amp; operating cost solar'!$D$14/9</f>
        <v>797.71924059004732</v>
      </c>
      <c r="J126" s="7">
        <f>'Capital &amp; operating cost solar'!$D$14/9</f>
        <v>797.71924059004732</v>
      </c>
      <c r="K126" s="7">
        <f>'Capital &amp; operating cost solar'!$D$14/9</f>
        <v>797.71924059004732</v>
      </c>
      <c r="L126" s="7">
        <f>'Capital &amp; operating cost solar'!$D$14/9</f>
        <v>797.71924059004732</v>
      </c>
      <c r="M126" s="7">
        <f>'Capital &amp; operating cost solar'!$D$14/9</f>
        <v>797.71924059004732</v>
      </c>
      <c r="N126" s="7">
        <f>'Capital &amp; operating cost solar'!$D$14/9</f>
        <v>797.71924059004732</v>
      </c>
      <c r="O126" s="7">
        <f>'Capital &amp; operating cost solar'!$D$14/9</f>
        <v>797.71924059004732</v>
      </c>
      <c r="P126" s="7"/>
      <c r="Q126" s="104">
        <f>SUM(E126:P126)</f>
        <v>7179.4731653104263</v>
      </c>
    </row>
    <row r="127" spans="2:20">
      <c r="B127" s="88" t="s">
        <v>278</v>
      </c>
      <c r="C127" s="39"/>
      <c r="D127" s="39"/>
      <c r="E127" s="39"/>
      <c r="F127" s="39"/>
      <c r="G127" s="7">
        <f t="shared" ref="G127:O127" si="76">IFERROR(G126*100/MIN(G20:G21),0)</f>
        <v>43.591215332789474</v>
      </c>
      <c r="H127" s="7">
        <f t="shared" si="76"/>
        <v>14.91934063584833</v>
      </c>
      <c r="I127" s="7">
        <f t="shared" si="76"/>
        <v>14.13193099117856</v>
      </c>
      <c r="J127" s="7">
        <f t="shared" si="76"/>
        <v>11.722339071023688</v>
      </c>
      <c r="K127" s="7">
        <f t="shared" si="76"/>
        <v>11.722339071023688</v>
      </c>
      <c r="L127" s="7">
        <f t="shared" si="76"/>
        <v>13.976635046220553</v>
      </c>
      <c r="M127" s="7">
        <f t="shared" si="76"/>
        <v>13.676062249527638</v>
      </c>
      <c r="N127" s="7">
        <f t="shared" si="76"/>
        <v>15.416651990376611</v>
      </c>
      <c r="O127" s="7">
        <f t="shared" si="76"/>
        <v>30.505515892544835</v>
      </c>
      <c r="P127" s="7"/>
      <c r="Q127" s="104">
        <f>IFERROR(Q126/Q22*100,0)</f>
        <v>15.6887910119585</v>
      </c>
      <c r="R127" t="s">
        <v>307</v>
      </c>
    </row>
    <row r="128" spans="2:20">
      <c r="B128" s="88"/>
      <c r="C128" s="39"/>
      <c r="D128" s="39"/>
      <c r="E128" s="39"/>
      <c r="F128" s="39"/>
      <c r="G128" s="7"/>
      <c r="H128" s="7"/>
      <c r="I128" s="7"/>
      <c r="J128" s="7"/>
      <c r="K128" s="7"/>
      <c r="L128" s="7"/>
      <c r="M128" s="7"/>
      <c r="N128" s="7"/>
      <c r="O128" s="7"/>
      <c r="P128" s="7"/>
      <c r="Q128" s="7"/>
    </row>
    <row r="129" spans="2:17">
      <c r="B129" s="1" t="s">
        <v>145</v>
      </c>
      <c r="C129" s="1"/>
      <c r="D129" s="67"/>
      <c r="E129" s="67"/>
      <c r="F129" s="67"/>
      <c r="G129" s="68">
        <f>G117+G126</f>
        <v>849.58127947893627</v>
      </c>
      <c r="H129" s="68">
        <f t="shared" ref="H129:O129" si="77">H117+H126</f>
        <v>880.60223307893637</v>
      </c>
      <c r="I129" s="68">
        <f t="shared" si="77"/>
        <v>2258.2942354789366</v>
      </c>
      <c r="J129" s="68">
        <f t="shared" si="77"/>
        <v>2384.0558658789359</v>
      </c>
      <c r="K129" s="68">
        <f t="shared" si="77"/>
        <v>2685.5966858789379</v>
      </c>
      <c r="L129" s="68">
        <f t="shared" si="77"/>
        <v>1792.9985738789369</v>
      </c>
      <c r="M129" s="68">
        <f t="shared" si="77"/>
        <v>2210.951860678937</v>
      </c>
      <c r="N129" s="68">
        <f t="shared" si="77"/>
        <v>1999.7241474789373</v>
      </c>
      <c r="O129" s="68">
        <f t="shared" si="77"/>
        <v>849.58127947893627</v>
      </c>
      <c r="P129" s="68"/>
      <c r="Q129" s="103">
        <f>SUM(E129:P129)</f>
        <v>15911.386161310431</v>
      </c>
    </row>
    <row r="130" spans="2:17" ht="14.4" customHeight="1">
      <c r="B130" s="1" t="s">
        <v>138</v>
      </c>
      <c r="C130" s="1"/>
      <c r="D130" s="67"/>
      <c r="E130" s="67"/>
      <c r="F130" s="67"/>
      <c r="G130" s="68">
        <f>G118+G126</f>
        <v>827.99152947893617</v>
      </c>
      <c r="H130" s="68">
        <f t="shared" ref="H130:N130" si="78">H118+H126</f>
        <v>848.82480947893634</v>
      </c>
      <c r="I130" s="68">
        <f t="shared" si="78"/>
        <v>1774.0653294789363</v>
      </c>
      <c r="J130" s="68">
        <f t="shared" si="78"/>
        <v>1858.5252494789358</v>
      </c>
      <c r="K130" s="68">
        <f t="shared" si="78"/>
        <v>2061.036249478937</v>
      </c>
      <c r="L130" s="68">
        <f t="shared" si="78"/>
        <v>1461.5786494789365</v>
      </c>
      <c r="M130" s="68">
        <f t="shared" si="78"/>
        <v>1742.2707894789364</v>
      </c>
      <c r="N130" s="68">
        <f t="shared" si="78"/>
        <v>1600.4129294789368</v>
      </c>
      <c r="O130" s="68">
        <f>O118+O126</f>
        <v>827.99152947893617</v>
      </c>
      <c r="P130" s="68"/>
      <c r="Q130" s="103">
        <f>SUM(E130:P130)</f>
        <v>13002.697065310429</v>
      </c>
    </row>
    <row r="131" spans="2:17">
      <c r="B131" s="1" t="s">
        <v>139</v>
      </c>
      <c r="C131" s="1"/>
      <c r="D131" s="67"/>
      <c r="E131" s="67"/>
      <c r="F131" s="67"/>
      <c r="G131" s="68">
        <f>G119+G126</f>
        <v>827.99152947893617</v>
      </c>
      <c r="H131" s="68">
        <f t="shared" ref="H131:O131" si="79">H119+H126</f>
        <v>853.87804467893636</v>
      </c>
      <c r="I131" s="68">
        <f t="shared" si="79"/>
        <v>2003.5411214789365</v>
      </c>
      <c r="J131" s="68">
        <f t="shared" si="79"/>
        <v>2108.4872942789361</v>
      </c>
      <c r="K131" s="68">
        <f t="shared" si="79"/>
        <v>2360.1185342789377</v>
      </c>
      <c r="L131" s="68">
        <f t="shared" si="79"/>
        <v>1615.2589502789367</v>
      </c>
      <c r="M131" s="68">
        <f t="shared" si="79"/>
        <v>1964.0346278789366</v>
      </c>
      <c r="N131" s="68">
        <f t="shared" si="79"/>
        <v>1787.768305478937</v>
      </c>
      <c r="O131" s="68">
        <f t="shared" si="79"/>
        <v>827.99152947893617</v>
      </c>
      <c r="P131" s="68"/>
      <c r="Q131" s="103">
        <f t="shared" ref="Q131:Q132" si="80">SUM(E131:P131)</f>
        <v>14349.069937310429</v>
      </c>
    </row>
    <row r="132" spans="2:17">
      <c r="B132" s="1" t="s">
        <v>140</v>
      </c>
      <c r="C132" s="1"/>
      <c r="D132" s="67"/>
      <c r="E132" s="67"/>
      <c r="F132" s="67"/>
      <c r="G132" s="68">
        <f>G120+G126</f>
        <v>1169.993671145603</v>
      </c>
      <c r="H132" s="68">
        <f t="shared" ref="H132:O132" si="81">H120+H126</f>
        <v>1194.6275271456029</v>
      </c>
      <c r="I132" s="68">
        <f t="shared" si="81"/>
        <v>2288.657931145603</v>
      </c>
      <c r="J132" s="68">
        <f t="shared" si="81"/>
        <v>2388.5257151456021</v>
      </c>
      <c r="K132" s="68">
        <f t="shared" si="81"/>
        <v>2627.9804151456042</v>
      </c>
      <c r="L132" s="68">
        <f t="shared" si="81"/>
        <v>1919.1648951456032</v>
      </c>
      <c r="M132" s="68">
        <f t="shared" si="81"/>
        <v>2251.0631731456033</v>
      </c>
      <c r="N132" s="68">
        <f>N120+N126</f>
        <v>2083.3264511456036</v>
      </c>
      <c r="O132" s="68">
        <f t="shared" si="81"/>
        <v>1169.993671145603</v>
      </c>
      <c r="P132" s="68"/>
      <c r="Q132" s="103">
        <f t="shared" si="80"/>
        <v>17093.333450310427</v>
      </c>
    </row>
    <row r="133" spans="2:17">
      <c r="B133" s="42" t="s">
        <v>312</v>
      </c>
      <c r="C133" s="26"/>
      <c r="D133" s="67"/>
      <c r="E133" s="67"/>
      <c r="F133" s="67"/>
      <c r="G133" s="68">
        <f>G121+G126</f>
        <v>849.58127947893627</v>
      </c>
      <c r="H133" s="68">
        <f t="shared" ref="H133:N133" si="82">H121+H126</f>
        <v>884.14988107893646</v>
      </c>
      <c r="I133" s="68">
        <f t="shared" si="82"/>
        <v>2419.3988154789367</v>
      </c>
      <c r="J133" s="68">
        <f t="shared" si="82"/>
        <v>2559.5429178789354</v>
      </c>
      <c r="K133" s="68">
        <f t="shared" si="82"/>
        <v>2895.5688378789382</v>
      </c>
      <c r="L133" s="68">
        <f t="shared" si="82"/>
        <v>1900.890565878937</v>
      </c>
      <c r="M133" s="68">
        <f t="shared" si="82"/>
        <v>2366.6422266789368</v>
      </c>
      <c r="N133" s="68">
        <f t="shared" si="82"/>
        <v>2131.2578874789374</v>
      </c>
      <c r="O133" s="68">
        <f>O121+O126</f>
        <v>849.58127947893627</v>
      </c>
      <c r="P133" s="68"/>
      <c r="Q133" s="103">
        <f>SUM(E133:P133)</f>
        <v>16856.613691310431</v>
      </c>
    </row>
    <row r="134" spans="2:17">
      <c r="B134" s="42" t="s">
        <v>375</v>
      </c>
      <c r="C134" s="26"/>
      <c r="D134" s="67"/>
      <c r="E134" s="67"/>
      <c r="F134" s="67"/>
      <c r="G134" s="68">
        <f>G122+G126</f>
        <v>871.17622947893619</v>
      </c>
      <c r="H134" s="68">
        <f t="shared" ref="H134:O134" si="83">H122+H126</f>
        <v>892.87345827893637</v>
      </c>
      <c r="I134" s="68">
        <f t="shared" si="83"/>
        <v>1856.4833774789363</v>
      </c>
      <c r="J134" s="120">
        <f t="shared" si="83"/>
        <v>1902.6408206789356</v>
      </c>
      <c r="K134" s="120">
        <f t="shared" si="83"/>
        <v>2113.5498806789374</v>
      </c>
      <c r="L134" s="120">
        <f t="shared" si="83"/>
        <v>1489.2329846789366</v>
      </c>
      <c r="M134" s="68">
        <f t="shared" si="83"/>
        <v>1823.3703290789365</v>
      </c>
      <c r="N134" s="68">
        <f t="shared" si="83"/>
        <v>1675.6296734789369</v>
      </c>
      <c r="O134" s="68">
        <f t="shared" si="83"/>
        <v>871.17622947893619</v>
      </c>
      <c r="P134" s="68"/>
      <c r="Q134" s="103">
        <f>SUM(E134:P134)</f>
        <v>13496.13298331043</v>
      </c>
    </row>
    <row r="135" spans="2:17">
      <c r="B135" s="42" t="s">
        <v>376</v>
      </c>
      <c r="C135" s="109"/>
      <c r="D135" s="10"/>
      <c r="E135" s="10"/>
      <c r="F135" s="10"/>
      <c r="G135" s="110">
        <f>G123+G126</f>
        <v>849.58127947893627</v>
      </c>
      <c r="H135" s="110">
        <f t="shared" ref="H135:O135" si="84">H123+H126</f>
        <v>876.15203147893635</v>
      </c>
      <c r="I135" s="110">
        <f t="shared" si="84"/>
        <v>2056.2031994789363</v>
      </c>
      <c r="J135" s="110">
        <f t="shared" si="84"/>
        <v>2163.9233274789358</v>
      </c>
      <c r="K135" s="110">
        <f t="shared" si="84"/>
        <v>2422.2057274789377</v>
      </c>
      <c r="L135" s="110">
        <f t="shared" si="84"/>
        <v>1657.6578874789366</v>
      </c>
      <c r="M135" s="110">
        <f t="shared" si="84"/>
        <v>2015.6524634789366</v>
      </c>
      <c r="N135" s="110">
        <f t="shared" si="84"/>
        <v>1834.7270394789371</v>
      </c>
      <c r="O135" s="110">
        <f t="shared" si="84"/>
        <v>849.58127947893627</v>
      </c>
      <c r="P135" s="110"/>
      <c r="Q135" s="103">
        <f>SUM(E135:P135)</f>
        <v>14725.684235310429</v>
      </c>
    </row>
    <row r="136" spans="2:17">
      <c r="B136" s="26"/>
      <c r="C136" s="26"/>
      <c r="D136" s="67"/>
      <c r="E136" s="67"/>
      <c r="F136" s="67"/>
      <c r="G136" s="26"/>
      <c r="H136" s="26"/>
      <c r="I136" s="26"/>
      <c r="J136" s="26"/>
      <c r="K136" s="26"/>
      <c r="L136" s="26"/>
      <c r="M136" s="26"/>
      <c r="N136" s="26"/>
      <c r="O136" s="26"/>
      <c r="P136" s="26"/>
      <c r="Q136" s="103"/>
    </row>
    <row r="137" spans="2:17">
      <c r="B137" s="32" t="s">
        <v>434</v>
      </c>
      <c r="C137" s="32"/>
      <c r="D137" s="32"/>
      <c r="E137" s="94" t="str">
        <f>E116</f>
        <v>July</v>
      </c>
      <c r="F137" s="94" t="str">
        <f t="shared" ref="F137:Q137" si="85">F116</f>
        <v>August</v>
      </c>
      <c r="G137" s="94" t="str">
        <f t="shared" si="85"/>
        <v>Sept</v>
      </c>
      <c r="H137" s="94" t="str">
        <f t="shared" si="85"/>
        <v>Oct</v>
      </c>
      <c r="I137" s="94" t="str">
        <f t="shared" si="85"/>
        <v xml:space="preserve">Nov </v>
      </c>
      <c r="J137" s="94" t="str">
        <f t="shared" si="85"/>
        <v>Dec</v>
      </c>
      <c r="K137" s="94" t="str">
        <f t="shared" si="85"/>
        <v>Jan</v>
      </c>
      <c r="L137" s="94" t="str">
        <f t="shared" si="85"/>
        <v>Feb</v>
      </c>
      <c r="M137" s="94" t="str">
        <f t="shared" si="85"/>
        <v xml:space="preserve">March </v>
      </c>
      <c r="N137" s="94" t="str">
        <f t="shared" si="85"/>
        <v>Apr</v>
      </c>
      <c r="O137" s="94" t="str">
        <f t="shared" si="85"/>
        <v>May</v>
      </c>
      <c r="P137" s="94" t="str">
        <f t="shared" si="85"/>
        <v>June</v>
      </c>
      <c r="Q137" s="122" t="str">
        <f t="shared" si="85"/>
        <v xml:space="preserve">Total grid cost </v>
      </c>
    </row>
    <row r="138" spans="2:17">
      <c r="B138" t="s">
        <v>146</v>
      </c>
      <c r="G138" s="7">
        <f>IF($Q$32=0,0,IF(G82="NA",(Tariffs!$E$6/100*G32)+(Tariffs!$D$22),((Tariffs!$D$6)/100*G82)+(Tariffs!$E$6/100*(G32-G82))+(Tariffs!$D$22)))</f>
        <v>51.86203888888889</v>
      </c>
      <c r="H138" s="7">
        <f>IF($Q$32=0,0,IF(H82="NA",(Tariffs!$E$6/100*H32)+(Tariffs!$D$22),((Tariffs!$D$6)/100*H82)+(Tariffs!$E$6/100*(H32-H82))+(Tariffs!$D$22)))</f>
        <v>82.882992488889073</v>
      </c>
      <c r="I138" s="7">
        <f>IF($Q$32=0,0,IF(I82="NA",(Tariffs!$E$6/100*I32)+(Tariffs!$D$22),((Tariffs!$D$6)/100*I82)+(Tariffs!$E$6/100*(I32-I82))+(Tariffs!$D$22)))</f>
        <v>1460.5749948888893</v>
      </c>
      <c r="J138" s="7">
        <f>IF($Q$32=0,0,IF(J82="NA",(Tariffs!$E$6/100*J32)+(Tariffs!$D$22),((Tariffs!$D$6)/100*J82)+(Tariffs!$E$6/100*(J32-J82))+(Tariffs!$D$22)))</f>
        <v>1586.3366252888884</v>
      </c>
      <c r="K138" s="7">
        <f>IF($Q$32=0,0,IF(K82="NA",(Tariffs!$E$6/100*K32)+(Tariffs!$D$22),((Tariffs!$D$6)/100*K82)+(Tariffs!$E$6/100*(K32-K82))+(Tariffs!$D$22)))</f>
        <v>1887.8774452888906</v>
      </c>
      <c r="L138" s="7">
        <f>IF($Q$32=0,0,IF(L82="NA",(Tariffs!$E$6/100*L32)+(Tariffs!$D$22),((Tariffs!$D$6)/100*L82)+(Tariffs!$E$6/100*(L32-L82))+(Tariffs!$D$22)))</f>
        <v>995.27933328888957</v>
      </c>
      <c r="M138" s="7">
        <f>IF($Q$32=0,0,IF(M82="NA",(Tariffs!$E$6/100*M32)+(Tariffs!$D$22),((Tariffs!$D$6)/100*M82)+(Tariffs!$E$6/100*(M32-M82))+(Tariffs!$D$22)))</f>
        <v>1413.2326200888895</v>
      </c>
      <c r="N138" s="7">
        <f>IF($Q$32=0,0,IF(N82="NA",(Tariffs!$E$6/100*N32)+(Tariffs!$D$22),((Tariffs!$D$6)/100*N82)+(Tariffs!$E$6/100*(N32-N82))+(Tariffs!$D$22)))</f>
        <v>1202.00490688889</v>
      </c>
      <c r="O138" s="7">
        <f>IF($Q$32=0,0,IF(O82="NA",(Tariffs!$E$6/100*O32)+(Tariffs!$D$22),((Tariffs!$D$6)/100*O82)+(Tariffs!$E$6/100*(O32-O82))+(Tariffs!$D$22)))</f>
        <v>51.86203888888889</v>
      </c>
      <c r="P138" s="7"/>
      <c r="Q138" s="104">
        <f>SUM(E138:P138)</f>
        <v>8731.9129960000027</v>
      </c>
    </row>
    <row r="139" spans="2:17">
      <c r="B139" t="s">
        <v>147</v>
      </c>
      <c r="G139" s="7">
        <f>IF($Q$32=0,0,IF(G90="NA",(Tariffs!$E$7/100*G32)+(Tariffs!$D$23),((Tariffs!$D$7)/100*G90)+(Tariffs!$E$7/100*(G32-G90))+(Tariffs!$D$23)))</f>
        <v>30.272288888888891</v>
      </c>
      <c r="H139" s="7">
        <f>IF($Q$32=0,0,IF(H90="NA",(Tariffs!$E$7/100*H32)+(Tariffs!$D$23),((Tariffs!$D$7)/100*H90)+(Tariffs!$E$7/100*(H32-H90))+(Tariffs!$D$23)))</f>
        <v>51.105568888889017</v>
      </c>
      <c r="I139" s="7">
        <f>IF($Q$32=0,0,IF(I90="NA",(Tariffs!$E$7/100*I32)+(Tariffs!$D$23),((Tariffs!$D$7)/100*I90)+(Tariffs!$E$7/100*(I32-I90))+(Tariffs!$D$23)))</f>
        <v>976.34608888888897</v>
      </c>
      <c r="J139" s="7">
        <f>IF($Q$32=0,0,IF(J90="NA",(Tariffs!$E$7/100*J32)+(Tariffs!$D$23),((Tariffs!$D$7)/100*J90)+(Tariffs!$E$7/100*(J32-J90))+(Tariffs!$D$23)))</f>
        <v>1060.8060088888885</v>
      </c>
      <c r="K139" s="7">
        <f>IF($Q$32=0,0,IF(K90="NA",(Tariffs!$E$7/100*K32)+(Tariffs!$D$23),((Tariffs!$D$7)/100*K90)+(Tariffs!$E$7/100*(K32-K90))+(Tariffs!$D$23)))</f>
        <v>1263.3170088888899</v>
      </c>
      <c r="L139" s="7">
        <f>IF($Q$32=0,0,IF(L90="NA",(Tariffs!$E$7/100*L32)+(Tariffs!$D$23),((Tariffs!$D$7)/100*L90)+(Tariffs!$E$7/100*(L32-L90))+(Tariffs!$D$23)))</f>
        <v>663.85940888888922</v>
      </c>
      <c r="M139" s="7">
        <f>IF($Q$32=0,0,IF(M90="NA",(Tariffs!$E$7/100*M32)+(Tariffs!$D$23),((Tariffs!$D$7)/100*M90)+(Tariffs!$E$7/100*(M32-M90))+(Tariffs!$D$23)))</f>
        <v>944.5515488888891</v>
      </c>
      <c r="N139" s="7">
        <f>IF($Q$32=0,0,IF(N90="NA",(Tariffs!$E$7/100*N32)+(Tariffs!$D$23),((Tariffs!$D$7)/100*N90)+(Tariffs!$E$7/100*(N32-N90))+(Tariffs!$D$23)))</f>
        <v>802.69368888888948</v>
      </c>
      <c r="O139" s="7">
        <f>IF($Q$32=0,0,IF(O90="NA",(Tariffs!$E$7/100*O32)+(Tariffs!$D$23),((Tariffs!$D$7)/100*O90)+(Tariffs!$E$7/100*(O32-O90))+(Tariffs!$D$23)))</f>
        <v>30.272288888888891</v>
      </c>
      <c r="P139" s="7"/>
      <c r="Q139" s="104">
        <f>SUM(E139:P139)</f>
        <v>5823.2239000000036</v>
      </c>
    </row>
    <row r="140" spans="2:17">
      <c r="B140" t="s">
        <v>148</v>
      </c>
      <c r="G140" s="7">
        <f>IF($Q$32=0,0,IF(G86="NA",(Tariffs!$E$9/100*G32)+(Tariffs!$D$24),((Tariffs!$D$9)/100*G86)+(Tariffs!$E$9/100*(G32-G86))+(Tariffs!$D$24)))</f>
        <v>30.272288888888891</v>
      </c>
      <c r="H140" s="7">
        <f>IF($Q$32=0,0,IF(H86="NA",(Tariffs!$E$9/100*H32)+(Tariffs!$D$24),((Tariffs!$D$9)/100*H86)+(Tariffs!$E$9/100*(H32-H86))+(Tariffs!$D$24)))</f>
        <v>56.158804088889049</v>
      </c>
      <c r="I140" s="7">
        <f>IF($Q$32=0,0,IF(I86="NA",(Tariffs!$E$9/100*I32)+(Tariffs!$D$24),((Tariffs!$D$9)/100*I86)+(Tariffs!$E$9/100*(I32-I86))+(Tariffs!$D$24)))</f>
        <v>1205.8218808888892</v>
      </c>
      <c r="J140" s="7">
        <f>IF($Q$32=0,0,IF(J86="NA",(Tariffs!$E$9/100*J32)+(Tariffs!$D$24),((Tariffs!$D$9)/100*J86)+(Tariffs!$E$9/100*(J32-J86))+(Tariffs!$D$24)))</f>
        <v>1310.7680536888886</v>
      </c>
      <c r="K140" s="7">
        <f>IF($Q$32=0,0,IF(K86="NA",(Tariffs!$E$9/100*K32)+(Tariffs!$D$24),((Tariffs!$D$9)/100*K86)+(Tariffs!$E$9/100*(K32-K86))+(Tariffs!$D$24)))</f>
        <v>1562.3992936888903</v>
      </c>
      <c r="L140" s="7">
        <f>IF($Q$32=0,0,IF(L86="NA",(Tariffs!$E$9/100*L32)+(Tariffs!$D$24),((Tariffs!$D$9)/100*L86)+(Tariffs!$E$9/100*(L32-L86))+(Tariffs!$D$24)))</f>
        <v>817.53970968888939</v>
      </c>
      <c r="M140" s="7">
        <f>IF($Q$32=0,0,IF(M86="NA",(Tariffs!$E$9/100*M32)+(Tariffs!$D$24),((Tariffs!$D$9)/100*M86)+(Tariffs!$E$9/100*(M32-M86))+(Tariffs!$D$24)))</f>
        <v>1166.3153872888893</v>
      </c>
      <c r="N140" s="7">
        <f>IF($Q$32=0,0,IF(N86="NA",(Tariffs!$E$9/100*N32)+(Tariffs!$D$24),((Tariffs!$D$9)/100*N86)+(Tariffs!$E$9/100*(N32-N86))+(Tariffs!$D$24)))</f>
        <v>990.04906488888969</v>
      </c>
      <c r="O140" s="7">
        <f>IF($Q$32=0,0,IF(O86="NA",(Tariffs!$E$9/100*O32)+(Tariffs!$D$24),((Tariffs!$D$9)/100*O86)+(Tariffs!$E$9/100*(O32-O86))+(Tariffs!$D$24)))</f>
        <v>30.272288888888891</v>
      </c>
      <c r="P140" s="7"/>
      <c r="Q140" s="104">
        <f t="shared" ref="Q140:Q143" si="86">SUM(E140:P140)</f>
        <v>7169.5967720000044</v>
      </c>
    </row>
    <row r="141" spans="2:17">
      <c r="B141" t="s">
        <v>149</v>
      </c>
      <c r="G141" s="7">
        <f>IF($Q$32=0,0,(Tariffs!$D$13/100*G32)+(Tariffs!$D$25))</f>
        <v>372.27443055555557</v>
      </c>
      <c r="H141" s="7">
        <f>IF($Q$32=0,0,(Tariffs!$D$13/100*H32)+(Tariffs!$D$25))</f>
        <v>396.90828655555572</v>
      </c>
      <c r="I141" s="7">
        <f>IF($Q$32=0,0,(Tariffs!$D$13/100*I32)+(Tariffs!$D$25))</f>
        <v>1490.9386905555557</v>
      </c>
      <c r="J141" s="7">
        <f>IF($Q$32=0,0,(Tariffs!$D$13/100*J32)+(Tariffs!$D$25))</f>
        <v>1590.8064745555548</v>
      </c>
      <c r="K141" s="7">
        <f>IF($Q$32=0,0,(Tariffs!$D$13/100*K32)+(Tariffs!$D$25))</f>
        <v>1830.2611745555569</v>
      </c>
      <c r="L141" s="7">
        <f>IF($Q$32=0,0,(Tariffs!$D$13/100*L32)+(Tariffs!$D$25))</f>
        <v>1121.4456545555558</v>
      </c>
      <c r="M141" s="7">
        <f>IF($Q$32=0,0,(Tariffs!$D$13/100*M32)+(Tariffs!$D$25))</f>
        <v>1453.343932555556</v>
      </c>
      <c r="N141" s="7">
        <f>IF($Q$32=0,0,(Tariffs!$D$13/100*N32)+(Tariffs!$D$25))</f>
        <v>1285.6072105555563</v>
      </c>
      <c r="O141" s="7">
        <f>IF($Q$32=0,0,(Tariffs!$D$13/100*O32)+(Tariffs!$D$25))</f>
        <v>372.27443055555557</v>
      </c>
      <c r="P141" s="7"/>
      <c r="Q141" s="104">
        <f>SUM(E141:P141)</f>
        <v>9913.8602850000025</v>
      </c>
    </row>
    <row r="142" spans="2:17">
      <c r="B142" t="s">
        <v>311</v>
      </c>
      <c r="G142" s="7">
        <f>IF($Q$32=0,0,(Tariffs!$D$14/100*G32)+(Tariffs!$D$26))</f>
        <v>51.86203888888889</v>
      </c>
      <c r="H142" s="7">
        <f>IF($Q$32=0,0,(Tariffs!$D$14/100*H32)+(Tariffs!$D$26))</f>
        <v>86.430640488889111</v>
      </c>
      <c r="I142" s="7">
        <f>IF($Q$32=0,0,(Tariffs!$D$14/100*I32)+(Tariffs!$D$26))</f>
        <v>1621.6795748888892</v>
      </c>
      <c r="J142" s="7">
        <f>IF($Q$32=0,0,(Tariffs!$D$14/100*J32)+(Tariffs!$D$26))</f>
        <v>1761.8236772888883</v>
      </c>
      <c r="K142" s="7">
        <f>IF($Q$32=0,0,(Tariffs!$D$14/100*K32)+(Tariffs!$D$26))</f>
        <v>2097.8495972888909</v>
      </c>
      <c r="L142" s="7">
        <f>IF($Q$32=0,0,(Tariffs!$D$14/100*L32)+(Tariffs!$D$26))</f>
        <v>1103.1713252888896</v>
      </c>
      <c r="M142" s="7">
        <f>IF($Q$32=0,0,(Tariffs!$D$14/100*M32)+(Tariffs!$D$26))</f>
        <v>1568.9229860888895</v>
      </c>
      <c r="N142" s="7">
        <f>IF($Q$32=0,0,(Tariffs!$D$14/100*N32)+(Tariffs!$D$26))</f>
        <v>1333.5386468888901</v>
      </c>
      <c r="O142" s="7">
        <f>IF($Q$32=0,0,(Tariffs!$D$14/100*O32)+(Tariffs!$D$26))</f>
        <v>51.86203888888889</v>
      </c>
      <c r="P142" s="7"/>
      <c r="Q142" s="104">
        <f t="shared" si="86"/>
        <v>9677.1405260000047</v>
      </c>
    </row>
    <row r="143" spans="2:17">
      <c r="B143" t="s">
        <v>373</v>
      </c>
      <c r="G143" s="7">
        <f>IF($Q$32=0,0,(Tariffs!$D$17/100*G32)+(Tariffs!$D$27)+(IF(G82="NA",3*Tariffs!$E$15,G82/10*Tariffs!$E$15)))</f>
        <v>73.456988888888887</v>
      </c>
      <c r="H143" s="7">
        <f>IF($Q$32=0,0,(Tariffs!$D$17/100*H32)+(Tariffs!$D$27)+(IF(H82="NA",3*Tariffs!$E$15,H82/10*Tariffs!$E$15)))</f>
        <v>95.15421768888902</v>
      </c>
      <c r="I143" s="7">
        <f>IF($Q$32=0,0,(Tariffs!$D$17/100*I32)+(Tariffs!$D$27)+(IF(I82="NA",3*Tariffs!$E$15,I82/10*Tariffs!$E$15)))</f>
        <v>1058.764136888889</v>
      </c>
      <c r="J143" s="65">
        <f>IF($Q$32=0,0,(Tariffs!$D$17/100*J32)+(Tariffs!$D$27)+(IF(J82="NA",0,Summary!$F$9*Tariffs!$D$15)))</f>
        <v>1104.9215800888883</v>
      </c>
      <c r="K143" s="65">
        <f>IF($Q$32=0,0,(Tariffs!$D$17/100*K32)+(Tariffs!$D$27)+(IF(K82="NA",0,Summary!$F$9*Tariffs!$D$15)))</f>
        <v>1315.8306400888898</v>
      </c>
      <c r="L143" s="65">
        <f>IF($Q$32=0,0,(Tariffs!$D$17/100*L32)+(Tariffs!$D$27)+(IF(L82="NA",0,Summary!$F$9*Tariffs!$D$15)))</f>
        <v>691.51374408888933</v>
      </c>
      <c r="M143" s="7">
        <f>IF($Q$32=0,0,(Tariffs!$D$17/100*M32)+(Tariffs!$D$27)+(IF(M82="NA",3*Tariffs!$E$15,M82/10*Tariffs!$E$15)))</f>
        <v>1025.6510884888892</v>
      </c>
      <c r="N143" s="7">
        <f>IF($Q$32=0,0,(Tariffs!$D$17/100*N32)+(Tariffs!$D$27)+(IF(N82="NA",3*Tariffs!$E$15,N82/10*Tariffs!$E$15)))</f>
        <v>877.91043288888955</v>
      </c>
      <c r="O143" s="7">
        <f>IF($Q$32=0,0,(Tariffs!$D$17/100*O32)+(Tariffs!$D$27)+(IF(O82="NA",3*Tariffs!$E$15,O82/10*Tariffs!$E$15)))</f>
        <v>73.456988888888887</v>
      </c>
      <c r="P143" s="7"/>
      <c r="Q143" s="104">
        <f t="shared" si="86"/>
        <v>6316.6598180000028</v>
      </c>
    </row>
    <row r="144" spans="2:17">
      <c r="B144" t="s">
        <v>284</v>
      </c>
      <c r="G144" s="7">
        <f>IF($Q$32=0,0,(Tariffs!$D$18/100*G32)+(Tariffs!$D$28))</f>
        <v>51.86203888888889</v>
      </c>
      <c r="H144" s="7">
        <f>IF($Q$32=0,0,(Tariffs!$D$18/100*H32)+(Tariffs!$D$28))</f>
        <v>78.432790888889045</v>
      </c>
      <c r="I144" s="7">
        <f>IF($Q$32=0,0,(Tariffs!$D$18/100*I32)+(Tariffs!$D$28))</f>
        <v>1258.483958888889</v>
      </c>
      <c r="J144" s="7">
        <f>IF($Q$32=0,0,(Tariffs!$D$18/100*J32)+(Tariffs!$D$28))</f>
        <v>1366.2040868888885</v>
      </c>
      <c r="K144" s="7">
        <f>IF($Q$32=0,0,(Tariffs!$D$18/100*K32)+(Tariffs!$D$28))</f>
        <v>1624.4864868888903</v>
      </c>
      <c r="L144" s="7">
        <f>IF($Q$32=0,0,(Tariffs!$D$18/100*L32)+(Tariffs!$D$28))</f>
        <v>859.93864688888925</v>
      </c>
      <c r="M144" s="7">
        <f>IF($Q$32=0,0,(Tariffs!$D$18/100*M32)+(Tariffs!$D$28))</f>
        <v>1217.9332228888893</v>
      </c>
      <c r="N144" s="7">
        <f>IF($Q$32=0,0,(Tariffs!$D$18/100*N32)+(Tariffs!$D$28))</f>
        <v>1037.0077988888897</v>
      </c>
      <c r="O144" s="7">
        <f>IF($Q$32=0,0,(Tariffs!$D$18/100*O32)+(Tariffs!$D$28))</f>
        <v>51.86203888888889</v>
      </c>
      <c r="P144" s="7"/>
      <c r="Q144" s="104">
        <f>SUM(E144:P144)</f>
        <v>7546.211070000003</v>
      </c>
    </row>
    <row r="145" spans="2:20">
      <c r="B145" t="s">
        <v>132</v>
      </c>
      <c r="G145" s="7">
        <f t="shared" ref="G145:O145" si="87">G32/G8%</f>
        <v>0</v>
      </c>
      <c r="H145" s="7">
        <f t="shared" si="87"/>
        <v>2.4291970802919849</v>
      </c>
      <c r="I145" s="7">
        <f t="shared" si="87"/>
        <v>51.712574850299404</v>
      </c>
      <c r="J145" s="7">
        <f t="shared" si="87"/>
        <v>49.177595220313655</v>
      </c>
      <c r="K145" s="7">
        <f t="shared" si="87"/>
        <v>53.656224461999479</v>
      </c>
      <c r="L145" s="7">
        <f t="shared" si="87"/>
        <v>41.497334973349751</v>
      </c>
      <c r="M145" s="7">
        <f t="shared" si="87"/>
        <v>50.038886509635986</v>
      </c>
      <c r="N145" s="7">
        <f t="shared" si="87"/>
        <v>48.818991097922869</v>
      </c>
      <c r="O145" s="7">
        <f t="shared" si="87"/>
        <v>0</v>
      </c>
      <c r="P145" s="7"/>
      <c r="Q145" s="104">
        <f>AVERAGE(E145:P145)</f>
        <v>33.036756021534792</v>
      </c>
    </row>
    <row r="146" spans="2:20">
      <c r="B146" t="s">
        <v>131</v>
      </c>
      <c r="G146" s="7">
        <f>100-G145</f>
        <v>100</v>
      </c>
      <c r="H146" s="7">
        <f t="shared" ref="H146:O146" si="88">100-H145</f>
        <v>97.570802919708015</v>
      </c>
      <c r="I146" s="7">
        <f t="shared" si="88"/>
        <v>48.287425149700596</v>
      </c>
      <c r="J146" s="7">
        <f t="shared" si="88"/>
        <v>50.822404779686345</v>
      </c>
      <c r="K146" s="7">
        <f t="shared" si="88"/>
        <v>46.343775538000521</v>
      </c>
      <c r="L146" s="7">
        <f t="shared" si="88"/>
        <v>58.502665026650249</v>
      </c>
      <c r="M146" s="7">
        <f t="shared" si="88"/>
        <v>49.961113490364014</v>
      </c>
      <c r="N146" s="7">
        <f t="shared" si="88"/>
        <v>51.181008902077131</v>
      </c>
      <c r="O146" s="7">
        <f t="shared" si="88"/>
        <v>100</v>
      </c>
      <c r="P146" s="7"/>
      <c r="Q146" s="104">
        <f>AVERAGE(E146:P146)</f>
        <v>66.963243978465201</v>
      </c>
    </row>
    <row r="147" spans="2:20">
      <c r="B147" s="88" t="s">
        <v>377</v>
      </c>
      <c r="C147" s="39"/>
      <c r="D147" s="39"/>
      <c r="E147" s="39"/>
      <c r="F147" s="39"/>
      <c r="G147" s="7">
        <f>'Capital &amp; operating cost solar'!$D$14/9</f>
        <v>797.71924059004732</v>
      </c>
      <c r="H147" s="7">
        <f>'Capital &amp; operating cost solar'!$D$14/9</f>
        <v>797.71924059004732</v>
      </c>
      <c r="I147" s="7">
        <f>'Capital &amp; operating cost solar'!$D$14/9</f>
        <v>797.71924059004732</v>
      </c>
      <c r="J147" s="7">
        <f>'Capital &amp; operating cost solar'!$D$14/9</f>
        <v>797.71924059004732</v>
      </c>
      <c r="K147" s="7">
        <f>'Capital &amp; operating cost solar'!$D$14/9</f>
        <v>797.71924059004732</v>
      </c>
      <c r="L147" s="7">
        <f>'Capital &amp; operating cost solar'!$D$14/9</f>
        <v>797.71924059004732</v>
      </c>
      <c r="M147" s="7">
        <f>'Capital &amp; operating cost solar'!$D$14/9</f>
        <v>797.71924059004732</v>
      </c>
      <c r="N147" s="7">
        <f>'Capital &amp; operating cost solar'!$D$14/9</f>
        <v>797.71924059004732</v>
      </c>
      <c r="O147" s="7">
        <f>'Capital &amp; operating cost solar'!$D$14/9</f>
        <v>797.71924059004732</v>
      </c>
      <c r="P147" s="7"/>
      <c r="Q147" s="59">
        <f>SUM(E147:P147)</f>
        <v>7179.4731653104263</v>
      </c>
    </row>
    <row r="148" spans="2:20" s="32" customFormat="1">
      <c r="B148" s="88" t="s">
        <v>278</v>
      </c>
      <c r="C148" s="39"/>
      <c r="D148" s="39"/>
      <c r="E148" s="39"/>
      <c r="F148" s="39"/>
      <c r="G148" s="7">
        <f t="shared" ref="G148:O148" si="89">IFERROR(G147*100/MIN(G20:G21),0)</f>
        <v>43.591215332789474</v>
      </c>
      <c r="H148" s="7">
        <f t="shared" si="89"/>
        <v>14.91934063584833</v>
      </c>
      <c r="I148" s="7">
        <f t="shared" si="89"/>
        <v>14.13193099117856</v>
      </c>
      <c r="J148" s="7">
        <f t="shared" si="89"/>
        <v>11.722339071023688</v>
      </c>
      <c r="K148" s="7">
        <f t="shared" si="89"/>
        <v>11.722339071023688</v>
      </c>
      <c r="L148" s="7">
        <f t="shared" si="89"/>
        <v>13.976635046220553</v>
      </c>
      <c r="M148" s="7">
        <f t="shared" si="89"/>
        <v>13.676062249527638</v>
      </c>
      <c r="N148" s="7">
        <f t="shared" si="89"/>
        <v>15.416651990376611</v>
      </c>
      <c r="O148" s="7">
        <f t="shared" si="89"/>
        <v>30.505515892544835</v>
      </c>
      <c r="P148" s="7"/>
      <c r="Q148" s="59">
        <f>IFERROR(Q147/Q22*100,0)</f>
        <v>15.6887910119585</v>
      </c>
    </row>
    <row r="149" spans="2:20" s="32" customFormat="1">
      <c r="B149" s="11" t="s">
        <v>404</v>
      </c>
      <c r="C149" s="26"/>
      <c r="D149" s="67"/>
      <c r="E149" s="67"/>
      <c r="F149" s="67"/>
      <c r="G149" s="68">
        <f>'Capital &amp; operating cost solar'!D93/9</f>
        <v>0</v>
      </c>
      <c r="H149" s="68">
        <f>'Capital &amp; operating cost solar'!$D$93/9</f>
        <v>0</v>
      </c>
      <c r="I149" s="68">
        <f>'Capital &amp; operating cost solar'!$D$93/9</f>
        <v>0</v>
      </c>
      <c r="J149" s="68">
        <f>'Capital &amp; operating cost solar'!$D$93/9</f>
        <v>0</v>
      </c>
      <c r="K149" s="68">
        <f>'Capital &amp; operating cost solar'!$D$93/9</f>
        <v>0</v>
      </c>
      <c r="L149" s="68">
        <f>'Capital &amp; operating cost solar'!$D$93/9</f>
        <v>0</v>
      </c>
      <c r="M149" s="68">
        <f>'Capital &amp; operating cost solar'!$D$93/9</f>
        <v>0</v>
      </c>
      <c r="N149" s="68">
        <f>'Capital &amp; operating cost solar'!$D$93/9</f>
        <v>0</v>
      </c>
      <c r="O149" s="68">
        <f>'Capital &amp; operating cost solar'!$D$93/9</f>
        <v>0</v>
      </c>
      <c r="P149" s="26"/>
      <c r="Q149" s="103">
        <f>SUM(E149:P149)</f>
        <v>0</v>
      </c>
    </row>
    <row r="150" spans="2:20" s="32" customFormat="1">
      <c r="B150" s="11" t="s">
        <v>405</v>
      </c>
      <c r="C150" s="26"/>
      <c r="D150" s="67"/>
      <c r="E150" s="67"/>
      <c r="F150" s="67"/>
      <c r="G150" s="127" t="str">
        <f t="shared" ref="G150:O150" si="90">IFERROR(G149*100/G31,"NA")</f>
        <v>NA</v>
      </c>
      <c r="H150" s="127" t="str">
        <f t="shared" si="90"/>
        <v>NA</v>
      </c>
      <c r="I150" s="127" t="str">
        <f t="shared" si="90"/>
        <v>NA</v>
      </c>
      <c r="J150" s="127" t="str">
        <f t="shared" si="90"/>
        <v>NA</v>
      </c>
      <c r="K150" s="127" t="str">
        <f t="shared" si="90"/>
        <v>NA</v>
      </c>
      <c r="L150" s="127" t="str">
        <f t="shared" si="90"/>
        <v>NA</v>
      </c>
      <c r="M150" s="127" t="str">
        <f t="shared" si="90"/>
        <v>NA</v>
      </c>
      <c r="N150" s="127" t="str">
        <f t="shared" si="90"/>
        <v>NA</v>
      </c>
      <c r="O150" s="127" t="str">
        <f t="shared" si="90"/>
        <v>NA</v>
      </c>
      <c r="P150" s="26"/>
      <c r="Q150" s="128" t="str">
        <f>IFERROR(Q149*100/Q31,"NA")</f>
        <v>NA</v>
      </c>
      <c r="R150" s="7"/>
      <c r="T150" s="66"/>
    </row>
    <row r="151" spans="2:20" s="32" customFormat="1">
      <c r="B151" s="11"/>
      <c r="C151" s="26"/>
      <c r="D151" s="67"/>
      <c r="E151" s="67"/>
      <c r="F151" s="67"/>
      <c r="G151" s="68"/>
      <c r="H151" s="26"/>
      <c r="I151" s="26"/>
      <c r="J151" s="26"/>
      <c r="K151" s="26"/>
      <c r="L151" s="26"/>
      <c r="M151" s="26"/>
      <c r="N151" s="26"/>
      <c r="O151" s="26"/>
      <c r="P151" s="26"/>
      <c r="Q151" s="26"/>
      <c r="R151" s="7"/>
      <c r="T151" s="66"/>
    </row>
    <row r="152" spans="2:20" s="32" customFormat="1">
      <c r="B152" s="1" t="s">
        <v>435</v>
      </c>
      <c r="C152" s="1"/>
      <c r="D152" s="67"/>
      <c r="E152" s="67"/>
      <c r="F152" s="67"/>
      <c r="G152" s="68">
        <f>G138+G147+G149</f>
        <v>849.58127947893627</v>
      </c>
      <c r="H152" s="68">
        <f t="shared" ref="H152:N152" si="91">H138+H147+H149</f>
        <v>880.60223307893637</v>
      </c>
      <c r="I152" s="68">
        <f t="shared" si="91"/>
        <v>2258.2942354789366</v>
      </c>
      <c r="J152" s="68">
        <f t="shared" si="91"/>
        <v>2384.0558658789359</v>
      </c>
      <c r="K152" s="68">
        <f t="shared" si="91"/>
        <v>2685.5966858789379</v>
      </c>
      <c r="L152" s="68">
        <f t="shared" si="91"/>
        <v>1792.9985738789369</v>
      </c>
      <c r="M152" s="68">
        <f t="shared" si="91"/>
        <v>2210.951860678937</v>
      </c>
      <c r="N152" s="68">
        <f t="shared" si="91"/>
        <v>1999.7241474789373</v>
      </c>
      <c r="O152" s="68">
        <f>O138+O147+O149</f>
        <v>849.58127947893627</v>
      </c>
      <c r="P152" s="68"/>
      <c r="Q152" s="103">
        <f>SUM(E152:P152)</f>
        <v>15911.386161310431</v>
      </c>
      <c r="R152" s="7"/>
    </row>
    <row r="153" spans="2:20" s="32" customFormat="1">
      <c r="B153" s="1" t="s">
        <v>436</v>
      </c>
      <c r="C153" s="1"/>
      <c r="D153" s="67"/>
      <c r="E153" s="67"/>
      <c r="F153" s="67"/>
      <c r="G153" s="68">
        <f>G139+G147+G149</f>
        <v>827.99152947893617</v>
      </c>
      <c r="H153" s="68">
        <f t="shared" ref="H153:O153" si="92">H139+H147+H149</f>
        <v>848.82480947893634</v>
      </c>
      <c r="I153" s="68">
        <f t="shared" si="92"/>
        <v>1774.0653294789363</v>
      </c>
      <c r="J153" s="68">
        <f>J139+J147+J149</f>
        <v>1858.5252494789358</v>
      </c>
      <c r="K153" s="68">
        <f>K139+K147+K149</f>
        <v>2061.036249478937</v>
      </c>
      <c r="L153" s="68">
        <f t="shared" si="92"/>
        <v>1461.5786494789365</v>
      </c>
      <c r="M153" s="68">
        <f t="shared" si="92"/>
        <v>1742.2707894789364</v>
      </c>
      <c r="N153" s="68">
        <f t="shared" si="92"/>
        <v>1600.4129294789368</v>
      </c>
      <c r="O153" s="68">
        <f t="shared" si="92"/>
        <v>827.99152947893617</v>
      </c>
      <c r="P153" s="68"/>
      <c r="Q153" s="103">
        <f t="shared" ref="Q153:Q156" si="93">SUM(E153:P153)</f>
        <v>13002.697065310429</v>
      </c>
      <c r="R153" s="7"/>
    </row>
    <row r="154" spans="2:20" s="32" customFormat="1">
      <c r="B154" s="1" t="s">
        <v>437</v>
      </c>
      <c r="C154" s="1"/>
      <c r="D154" s="67"/>
      <c r="E154" s="67"/>
      <c r="F154" s="67"/>
      <c r="G154" s="68">
        <f>G140+G147+G149</f>
        <v>827.99152947893617</v>
      </c>
      <c r="H154" s="68">
        <f t="shared" ref="H154:O154" si="94">H140+H147+H149</f>
        <v>853.87804467893636</v>
      </c>
      <c r="I154" s="68">
        <f t="shared" si="94"/>
        <v>2003.5411214789365</v>
      </c>
      <c r="J154" s="68">
        <f t="shared" si="94"/>
        <v>2108.4872942789361</v>
      </c>
      <c r="K154" s="68">
        <f t="shared" si="94"/>
        <v>2360.1185342789377</v>
      </c>
      <c r="L154" s="68">
        <f t="shared" si="94"/>
        <v>1615.2589502789367</v>
      </c>
      <c r="M154" s="68">
        <f t="shared" si="94"/>
        <v>1964.0346278789366</v>
      </c>
      <c r="N154" s="68">
        <f t="shared" si="94"/>
        <v>1787.768305478937</v>
      </c>
      <c r="O154" s="68">
        <f t="shared" si="94"/>
        <v>827.99152947893617</v>
      </c>
      <c r="P154" s="68"/>
      <c r="Q154" s="103">
        <f t="shared" si="93"/>
        <v>14349.069937310429</v>
      </c>
      <c r="R154" s="7"/>
    </row>
    <row r="155" spans="2:20" s="32" customFormat="1">
      <c r="B155" s="1" t="s">
        <v>438</v>
      </c>
      <c r="C155" s="1"/>
      <c r="D155" s="67"/>
      <c r="E155" s="67"/>
      <c r="F155" s="67"/>
      <c r="G155" s="68">
        <f>G141+G147+G149</f>
        <v>1169.993671145603</v>
      </c>
      <c r="H155" s="68">
        <f t="shared" ref="H155:O155" si="95">H141+H147+H149</f>
        <v>1194.6275271456029</v>
      </c>
      <c r="I155" s="68">
        <f t="shared" si="95"/>
        <v>2288.657931145603</v>
      </c>
      <c r="J155" s="68">
        <f t="shared" si="95"/>
        <v>2388.5257151456021</v>
      </c>
      <c r="K155" s="68">
        <f t="shared" si="95"/>
        <v>2627.9804151456042</v>
      </c>
      <c r="L155" s="68">
        <f t="shared" si="95"/>
        <v>1919.1648951456032</v>
      </c>
      <c r="M155" s="68">
        <f t="shared" si="95"/>
        <v>2251.0631731456033</v>
      </c>
      <c r="N155" s="68">
        <f t="shared" si="95"/>
        <v>2083.3264511456036</v>
      </c>
      <c r="O155" s="68">
        <f t="shared" si="95"/>
        <v>1169.993671145603</v>
      </c>
      <c r="P155" s="68"/>
      <c r="Q155" s="103">
        <f t="shared" si="93"/>
        <v>17093.333450310427</v>
      </c>
      <c r="R155" s="7"/>
      <c r="S155" s="66"/>
    </row>
    <row r="156" spans="2:20" s="32" customFormat="1">
      <c r="B156" s="42" t="s">
        <v>439</v>
      </c>
      <c r="C156" s="26"/>
      <c r="D156" s="67"/>
      <c r="E156" s="67"/>
      <c r="F156" s="67"/>
      <c r="G156" s="68">
        <f>G142+G147+G149</f>
        <v>849.58127947893627</v>
      </c>
      <c r="H156" s="68">
        <f t="shared" ref="H156:O156" si="96">H142+H147+H149</f>
        <v>884.14988107893646</v>
      </c>
      <c r="I156" s="68">
        <f t="shared" si="96"/>
        <v>2419.3988154789367</v>
      </c>
      <c r="J156" s="68">
        <f t="shared" si="96"/>
        <v>2559.5429178789354</v>
      </c>
      <c r="K156" s="68">
        <f t="shared" si="96"/>
        <v>2895.5688378789382</v>
      </c>
      <c r="L156" s="68">
        <f t="shared" si="96"/>
        <v>1900.890565878937</v>
      </c>
      <c r="M156" s="68">
        <f t="shared" si="96"/>
        <v>2366.6422266789368</v>
      </c>
      <c r="N156" s="68">
        <f t="shared" si="96"/>
        <v>2131.2578874789374</v>
      </c>
      <c r="O156" s="68">
        <f t="shared" si="96"/>
        <v>849.58127947893627</v>
      </c>
      <c r="P156" s="68"/>
      <c r="Q156" s="103">
        <f t="shared" si="93"/>
        <v>16856.613691310431</v>
      </c>
      <c r="R156" s="7"/>
      <c r="S156" s="66"/>
    </row>
    <row r="157" spans="2:20" s="32" customFormat="1">
      <c r="B157" s="42" t="s">
        <v>440</v>
      </c>
      <c r="C157" s="26"/>
      <c r="D157" s="67"/>
      <c r="E157" s="67"/>
      <c r="F157" s="67"/>
      <c r="G157" s="68">
        <f>G143+G147+G149</f>
        <v>871.17622947893619</v>
      </c>
      <c r="H157" s="68">
        <f t="shared" ref="H157:O157" si="97">H143+H147+H149</f>
        <v>892.87345827893637</v>
      </c>
      <c r="I157" s="68">
        <f t="shared" si="97"/>
        <v>1856.4833774789363</v>
      </c>
      <c r="J157" s="120">
        <f t="shared" si="97"/>
        <v>1902.6408206789356</v>
      </c>
      <c r="K157" s="120">
        <f t="shared" si="97"/>
        <v>2113.5498806789374</v>
      </c>
      <c r="L157" s="120">
        <f t="shared" si="97"/>
        <v>1489.2329846789366</v>
      </c>
      <c r="M157" s="68">
        <f t="shared" si="97"/>
        <v>1823.3703290789365</v>
      </c>
      <c r="N157" s="68">
        <f t="shared" si="97"/>
        <v>1675.6296734789369</v>
      </c>
      <c r="O157" s="68">
        <f t="shared" si="97"/>
        <v>871.17622947893619</v>
      </c>
      <c r="P157" s="68"/>
      <c r="Q157" s="103">
        <f>SUM(E157:P157)</f>
        <v>13496.13298331043</v>
      </c>
      <c r="R157" s="7"/>
      <c r="S157" s="66"/>
    </row>
    <row r="158" spans="2:20" s="32" customFormat="1">
      <c r="B158" s="42" t="s">
        <v>441</v>
      </c>
      <c r="C158" s="109"/>
      <c r="D158" s="10"/>
      <c r="E158" s="10"/>
      <c r="F158" s="10"/>
      <c r="G158" s="110">
        <f>G144+G147+G149</f>
        <v>849.58127947893627</v>
      </c>
      <c r="H158" s="110">
        <f t="shared" ref="H158:O158" si="98">H144+H147+H149</f>
        <v>876.15203147893635</v>
      </c>
      <c r="I158" s="110">
        <f t="shared" si="98"/>
        <v>2056.2031994789363</v>
      </c>
      <c r="J158" s="110">
        <f t="shared" si="98"/>
        <v>2163.9233274789358</v>
      </c>
      <c r="K158" s="110">
        <f t="shared" si="98"/>
        <v>2422.2057274789377</v>
      </c>
      <c r="L158" s="110">
        <f t="shared" si="98"/>
        <v>1657.6578874789366</v>
      </c>
      <c r="M158" s="110">
        <f t="shared" si="98"/>
        <v>2015.6524634789366</v>
      </c>
      <c r="N158" s="110">
        <f t="shared" si="98"/>
        <v>1834.7270394789371</v>
      </c>
      <c r="O158" s="110">
        <f t="shared" si="98"/>
        <v>849.58127947893627</v>
      </c>
      <c r="P158" s="110"/>
      <c r="Q158" s="103">
        <f>SUM(E158:P158)</f>
        <v>14725.684235310429</v>
      </c>
      <c r="R158" s="7"/>
    </row>
    <row r="159" spans="2:20" s="32" customFormat="1">
      <c r="B159" s="42"/>
      <c r="C159" s="109"/>
      <c r="D159" s="10"/>
      <c r="E159" s="10"/>
      <c r="F159" s="10"/>
      <c r="G159" s="110"/>
      <c r="H159" s="110"/>
      <c r="I159" s="110"/>
      <c r="J159" s="110"/>
      <c r="K159" s="110"/>
      <c r="L159" s="110"/>
      <c r="M159" s="110"/>
      <c r="N159" s="110"/>
      <c r="O159" s="110"/>
      <c r="P159" s="110"/>
      <c r="Q159" s="103"/>
      <c r="R159" s="7"/>
    </row>
    <row r="160" spans="2:20">
      <c r="B160" s="51" t="s">
        <v>266</v>
      </c>
    </row>
    <row r="161" spans="1:17">
      <c r="B161" s="39" t="s">
        <v>230</v>
      </c>
      <c r="G161" s="41">
        <v>0</v>
      </c>
      <c r="H161" s="39"/>
      <c r="I161" s="39" t="s">
        <v>442</v>
      </c>
      <c r="J161" s="39"/>
      <c r="K161" s="39"/>
      <c r="L161" s="39"/>
      <c r="M161" s="39"/>
      <c r="N161" s="39"/>
      <c r="O161" s="39"/>
      <c r="P161" s="39"/>
      <c r="Q161" s="39"/>
    </row>
    <row r="162" spans="1:17">
      <c r="B162" s="39"/>
      <c r="G162" s="41"/>
      <c r="H162" s="39"/>
      <c r="I162" s="39"/>
      <c r="J162" s="39"/>
      <c r="K162" s="39"/>
      <c r="L162" s="39"/>
      <c r="M162" s="39"/>
      <c r="N162" s="39"/>
      <c r="O162" s="39"/>
      <c r="P162" s="39"/>
      <c r="Q162" s="39"/>
    </row>
    <row r="163" spans="1:17" ht="18">
      <c r="A163" s="70" t="s">
        <v>267</v>
      </c>
      <c r="B163" s="70"/>
      <c r="G163" s="41"/>
      <c r="H163" s="39"/>
      <c r="I163" s="39"/>
      <c r="J163" s="39"/>
      <c r="K163" s="39"/>
      <c r="L163" s="39"/>
      <c r="M163" s="39"/>
      <c r="N163" s="39"/>
      <c r="O163" s="39"/>
      <c r="P163" s="39"/>
      <c r="Q163" s="39"/>
    </row>
    <row r="164" spans="1:17">
      <c r="B164" s="51" t="s">
        <v>268</v>
      </c>
      <c r="G164" s="51" t="s">
        <v>274</v>
      </c>
      <c r="H164" s="39"/>
      <c r="I164" s="39"/>
      <c r="J164" s="39"/>
      <c r="K164" s="39"/>
      <c r="L164" s="39"/>
      <c r="M164" s="39"/>
      <c r="N164" s="39"/>
      <c r="O164" s="39"/>
      <c r="P164" s="39"/>
      <c r="Q164" s="39"/>
    </row>
    <row r="165" spans="1:17">
      <c r="B165" s="39" t="s">
        <v>388</v>
      </c>
      <c r="G165" s="41">
        <f>Q99*(1+Tariffs!I51)</f>
        <v>21060.957054229315</v>
      </c>
      <c r="H165" s="41"/>
      <c r="I165" s="41"/>
      <c r="J165" s="41"/>
      <c r="K165" s="41"/>
      <c r="L165" s="41"/>
      <c r="M165" s="41"/>
      <c r="N165" s="41"/>
      <c r="O165" s="41"/>
      <c r="P165" s="41"/>
      <c r="Q165" s="41"/>
    </row>
    <row r="166" spans="1:17">
      <c r="B166" s="39" t="s">
        <v>389</v>
      </c>
      <c r="G166" s="41">
        <f>Q103*(1+Tariffs!I55)</f>
        <v>23411.587745058194</v>
      </c>
      <c r="H166" s="39"/>
      <c r="I166" s="39"/>
      <c r="J166" s="39"/>
      <c r="K166" s="39"/>
      <c r="L166" s="39"/>
      <c r="M166" s="39"/>
      <c r="N166" s="39"/>
      <c r="O166" s="39"/>
      <c r="P166" s="39"/>
      <c r="Q166" s="39"/>
    </row>
    <row r="167" spans="1:17">
      <c r="B167" s="39" t="s">
        <v>390</v>
      </c>
      <c r="G167" s="41">
        <f>Q104*(1+Tariffs!I56)</f>
        <v>14958.0225898551</v>
      </c>
      <c r="H167" s="39"/>
      <c r="I167" s="39"/>
      <c r="J167" s="39"/>
      <c r="K167" s="39"/>
      <c r="L167" s="39"/>
      <c r="M167" s="39"/>
      <c r="N167" s="39"/>
      <c r="O167" s="39"/>
      <c r="P167" s="39"/>
      <c r="Q167" s="39"/>
    </row>
    <row r="168" spans="1:17">
      <c r="B168" s="39" t="s">
        <v>391</v>
      </c>
      <c r="G168" s="41">
        <f>Q105*(1+Tariffs!I57)</f>
        <v>20274.968000089699</v>
      </c>
      <c r="H168" s="39"/>
      <c r="I168" s="39"/>
      <c r="J168" s="39"/>
      <c r="K168" s="39"/>
      <c r="L168" s="39"/>
      <c r="M168" s="39"/>
      <c r="N168" s="39"/>
      <c r="O168" s="39"/>
      <c r="P168" s="39"/>
      <c r="Q168" s="39"/>
    </row>
    <row r="169" spans="1:17">
      <c r="B169" s="39"/>
      <c r="G169" s="41"/>
      <c r="H169" s="39"/>
      <c r="I169" s="39"/>
      <c r="J169" s="39"/>
      <c r="K169" s="39"/>
      <c r="L169" s="39"/>
      <c r="M169" s="39"/>
      <c r="N169" s="39"/>
      <c r="O169" s="39"/>
      <c r="P169" s="39"/>
      <c r="Q169" s="39"/>
    </row>
    <row r="170" spans="1:17">
      <c r="B170" s="51" t="s">
        <v>272</v>
      </c>
      <c r="G170" s="41"/>
      <c r="H170" s="39"/>
      <c r="I170" s="39"/>
      <c r="J170" s="39"/>
      <c r="K170" s="39"/>
      <c r="L170" s="39"/>
      <c r="M170" s="39"/>
      <c r="N170" s="39"/>
      <c r="O170" s="39"/>
      <c r="P170" s="39"/>
      <c r="Q170" s="39"/>
    </row>
    <row r="171" spans="1:17">
      <c r="B171" s="39" t="s">
        <v>269</v>
      </c>
      <c r="G171" s="41">
        <f>Q117*(1+Tariffs!I51)+Q126</f>
        <v>16661.040538821268</v>
      </c>
      <c r="H171" s="39"/>
      <c r="I171" s="39"/>
      <c r="J171" s="39"/>
      <c r="K171" s="39"/>
      <c r="L171" s="39"/>
      <c r="M171" s="39"/>
      <c r="N171" s="39"/>
      <c r="O171" s="39"/>
      <c r="P171" s="39"/>
      <c r="Q171" s="39"/>
    </row>
    <row r="172" spans="1:17">
      <c r="B172" s="39" t="s">
        <v>270</v>
      </c>
      <c r="G172" s="41">
        <f>Q121*(1+Tariffs!I55)+Q126</f>
        <v>17687.417979033715</v>
      </c>
      <c r="H172" s="39"/>
      <c r="I172" s="39"/>
      <c r="J172" s="39"/>
      <c r="K172" s="39"/>
      <c r="L172" s="39"/>
      <c r="M172" s="39"/>
      <c r="N172" s="39"/>
      <c r="O172" s="39"/>
      <c r="P172" s="39"/>
      <c r="Q172" s="39"/>
    </row>
    <row r="173" spans="1:17">
      <c r="B173" s="39" t="s">
        <v>378</v>
      </c>
      <c r="G173" s="41">
        <f>Q122*(1+Tariffs!I56)+Q126</f>
        <v>14038.43244117032</v>
      </c>
      <c r="H173" s="39"/>
      <c r="I173" s="39"/>
      <c r="J173" s="39"/>
      <c r="K173" s="39"/>
      <c r="L173" s="39"/>
      <c r="M173" s="39"/>
      <c r="N173" s="39"/>
      <c r="O173" s="39"/>
      <c r="P173" s="39"/>
      <c r="Q173" s="39"/>
    </row>
    <row r="174" spans="1:17">
      <c r="B174" s="39" t="s">
        <v>285</v>
      </c>
      <c r="G174" s="41">
        <f>Q123*(1+Tariffs!I57)+Q126</f>
        <v>16351.939884714619</v>
      </c>
      <c r="H174" s="39"/>
      <c r="I174" s="39"/>
      <c r="J174" s="39"/>
      <c r="K174" s="39"/>
      <c r="L174" s="39"/>
      <c r="M174" s="39"/>
      <c r="N174" s="39"/>
      <c r="O174" s="39"/>
      <c r="P174" s="39"/>
      <c r="Q174" s="39"/>
    </row>
    <row r="175" spans="1:17">
      <c r="B175" s="97" t="s">
        <v>387</v>
      </c>
      <c r="G175" s="41"/>
      <c r="H175" s="39"/>
      <c r="I175" s="39"/>
      <c r="J175" s="39"/>
      <c r="K175" s="39"/>
      <c r="L175" s="39"/>
      <c r="M175" s="39"/>
      <c r="N175" s="39"/>
      <c r="O175" s="39"/>
      <c r="P175" s="39"/>
      <c r="Q175" s="39"/>
    </row>
    <row r="176" spans="1:17">
      <c r="B176" s="97"/>
      <c r="G176" s="41"/>
      <c r="H176" s="39"/>
      <c r="I176" s="39"/>
      <c r="J176" s="39"/>
      <c r="K176" s="39"/>
      <c r="L176" s="39"/>
      <c r="M176" s="39"/>
      <c r="N176" s="39"/>
      <c r="O176" s="39"/>
      <c r="P176" s="39"/>
      <c r="Q176" s="39"/>
    </row>
    <row r="177" spans="2:17">
      <c r="B177" s="122" t="s">
        <v>445</v>
      </c>
      <c r="G177" s="41"/>
      <c r="H177" s="39"/>
      <c r="I177" s="39"/>
      <c r="J177" s="39"/>
      <c r="K177" s="39"/>
      <c r="L177" s="39"/>
      <c r="M177" s="39"/>
      <c r="N177" s="39"/>
      <c r="O177" s="39"/>
      <c r="P177" s="39"/>
      <c r="Q177" s="39"/>
    </row>
    <row r="178" spans="2:17">
      <c r="B178" s="39" t="s">
        <v>446</v>
      </c>
      <c r="G178" s="41">
        <f>Q138*(1+Tariffs!I51)+Q147+Q149</f>
        <v>16661.040538821268</v>
      </c>
      <c r="H178" s="39"/>
      <c r="I178" s="39"/>
      <c r="J178" s="39"/>
      <c r="K178" s="39"/>
      <c r="L178" s="39"/>
      <c r="M178" s="39"/>
      <c r="N178" s="39"/>
      <c r="O178" s="39"/>
      <c r="P178" s="39"/>
      <c r="Q178" s="39"/>
    </row>
    <row r="179" spans="2:17">
      <c r="B179" s="39" t="s">
        <v>447</v>
      </c>
      <c r="G179" s="41">
        <f>Q142*(1+Tariffs!I55)+Q147+Q149</f>
        <v>17687.417979033715</v>
      </c>
      <c r="H179" s="39"/>
      <c r="I179" s="39"/>
      <c r="J179" s="39"/>
      <c r="K179" s="39"/>
      <c r="L179" s="39"/>
      <c r="M179" s="39"/>
      <c r="N179" s="39"/>
      <c r="O179" s="39"/>
      <c r="P179" s="39"/>
      <c r="Q179" s="39"/>
    </row>
    <row r="180" spans="2:17">
      <c r="B180" s="39" t="s">
        <v>448</v>
      </c>
      <c r="G180" s="41">
        <f>Q143*(1+Tariffs!I56)+Q147+Q149</f>
        <v>14038.43244117032</v>
      </c>
      <c r="H180" s="39"/>
      <c r="I180" s="39"/>
      <c r="J180" s="39"/>
      <c r="K180" s="39"/>
      <c r="L180" s="39"/>
      <c r="M180" s="39"/>
      <c r="N180" s="39"/>
      <c r="O180" s="39"/>
      <c r="P180" s="39"/>
      <c r="Q180" s="39"/>
    </row>
    <row r="181" spans="2:17">
      <c r="B181" s="39" t="s">
        <v>449</v>
      </c>
      <c r="G181" s="41">
        <f>Q144*(1+Tariffs!I57)+Q147+Q149</f>
        <v>16351.939884714619</v>
      </c>
      <c r="H181" s="39"/>
      <c r="I181" s="39"/>
      <c r="J181" s="39"/>
      <c r="K181" s="39"/>
      <c r="L181" s="39"/>
      <c r="M181" s="39"/>
      <c r="N181" s="39"/>
      <c r="O181" s="39"/>
      <c r="P181" s="39"/>
      <c r="Q181" s="39"/>
    </row>
    <row r="182" spans="2:17">
      <c r="B182" s="97" t="s">
        <v>444</v>
      </c>
      <c r="G182" s="41"/>
      <c r="H182" s="39"/>
      <c r="I182" s="39"/>
      <c r="J182" s="39"/>
      <c r="K182" s="39"/>
      <c r="L182" s="39"/>
      <c r="M182" s="39"/>
      <c r="N182" s="39"/>
      <c r="O182" s="39"/>
      <c r="P182" s="39"/>
      <c r="Q182" s="39"/>
    </row>
    <row r="183" spans="2:17">
      <c r="B183" s="97"/>
      <c r="G183" s="41"/>
      <c r="H183" s="39"/>
      <c r="I183" s="39"/>
      <c r="J183" s="39"/>
      <c r="K183" s="39"/>
      <c r="L183" s="39"/>
      <c r="M183" s="39"/>
      <c r="N183" s="39"/>
      <c r="O183" s="39"/>
      <c r="P183" s="39"/>
      <c r="Q183" s="39"/>
    </row>
    <row r="184" spans="2:17">
      <c r="B184" s="51" t="s">
        <v>271</v>
      </c>
      <c r="H184" s="39"/>
      <c r="I184" s="39"/>
      <c r="J184" s="39"/>
      <c r="K184" s="39"/>
      <c r="L184" s="39"/>
      <c r="M184" s="39"/>
      <c r="N184" s="39"/>
      <c r="O184" s="39"/>
      <c r="P184" s="39"/>
      <c r="Q184" s="39"/>
    </row>
    <row r="185" spans="2:17">
      <c r="B185" s="39" t="s">
        <v>159</v>
      </c>
      <c r="G185" s="41">
        <f>G165-G171</f>
        <v>4399.9165154080474</v>
      </c>
      <c r="H185" s="39"/>
      <c r="I185" s="39"/>
      <c r="J185" s="39"/>
      <c r="K185" s="39"/>
      <c r="L185" s="39"/>
      <c r="M185" s="39"/>
      <c r="N185" s="39"/>
      <c r="O185" s="39"/>
      <c r="P185" s="39"/>
      <c r="Q185" s="39"/>
    </row>
    <row r="186" spans="2:17">
      <c r="B186" s="39" t="s">
        <v>275</v>
      </c>
      <c r="G186" s="41">
        <f>G166-G172</f>
        <v>5724.169766024479</v>
      </c>
      <c r="H186" s="6"/>
      <c r="I186" s="142" t="s">
        <v>534</v>
      </c>
    </row>
    <row r="187" spans="2:17">
      <c r="B187" s="39" t="s">
        <v>379</v>
      </c>
      <c r="G187" s="41">
        <f>G167-G173</f>
        <v>919.59014868477971</v>
      </c>
      <c r="H187" s="6"/>
    </row>
    <row r="188" spans="2:17">
      <c r="B188" s="39" t="s">
        <v>286</v>
      </c>
      <c r="G188" s="41">
        <f>G168-G174</f>
        <v>3923.0281153750802</v>
      </c>
      <c r="H188" s="6"/>
    </row>
    <row r="189" spans="2:17">
      <c r="B189" s="39"/>
      <c r="G189" s="41"/>
      <c r="H189" s="6"/>
    </row>
    <row r="190" spans="2:17">
      <c r="B190" s="122" t="s">
        <v>443</v>
      </c>
      <c r="H190" s="6"/>
    </row>
    <row r="191" spans="2:17">
      <c r="B191" s="39" t="str">
        <f>B185</f>
        <v>Tariff 22A ($)</v>
      </c>
      <c r="G191" s="41">
        <f>G165-G178</f>
        <v>4399.9165154080474</v>
      </c>
      <c r="H191" s="6"/>
    </row>
    <row r="192" spans="2:17">
      <c r="B192" s="39" t="str">
        <f t="shared" ref="B192:B194" si="99">B186</f>
        <v>Tariff 20 ($)</v>
      </c>
      <c r="G192" s="41">
        <f>G166-G179</f>
        <v>5724.169766024479</v>
      </c>
      <c r="H192" s="6"/>
      <c r="I192" s="142" t="s">
        <v>534</v>
      </c>
    </row>
    <row r="193" spans="2:18">
      <c r="B193" s="39" t="str">
        <f t="shared" si="99"/>
        <v>Tariff 24 ($)</v>
      </c>
      <c r="G193" s="41">
        <f>G167-G180</f>
        <v>919.59014868477971</v>
      </c>
      <c r="H193" s="6"/>
    </row>
    <row r="194" spans="2:18">
      <c r="B194" s="39" t="str">
        <f t="shared" si="99"/>
        <v>Tariff 33 ($)</v>
      </c>
      <c r="G194" s="41">
        <f>G168-G181</f>
        <v>3923.0281153750802</v>
      </c>
      <c r="H194" s="6"/>
    </row>
    <row r="195" spans="2:18">
      <c r="B195" s="97"/>
      <c r="H195" s="6"/>
    </row>
    <row r="196" spans="2:18">
      <c r="B196" s="69"/>
      <c r="C196" s="69"/>
      <c r="D196" s="69"/>
      <c r="E196" s="69"/>
      <c r="F196" s="69"/>
      <c r="G196" s="69"/>
      <c r="H196" s="69"/>
      <c r="I196" s="69"/>
      <c r="J196" s="69"/>
      <c r="K196" s="69"/>
      <c r="L196" s="69"/>
      <c r="M196" s="69"/>
      <c r="N196" s="69"/>
      <c r="O196" s="69"/>
      <c r="P196" s="69"/>
      <c r="Q196" s="69"/>
      <c r="R196" s="69"/>
    </row>
    <row r="205" spans="2:18">
      <c r="B205" s="13"/>
      <c r="C205" s="17"/>
      <c r="D205" s="16"/>
      <c r="E205" s="49"/>
      <c r="F205" s="49"/>
      <c r="G205" s="16"/>
      <c r="H205" s="16"/>
      <c r="I205" s="16"/>
      <c r="J205" s="16"/>
      <c r="K205" s="16"/>
      <c r="L205" s="16"/>
      <c r="M205" s="16"/>
      <c r="N205" s="16"/>
      <c r="O205" s="15"/>
      <c r="P205" s="15"/>
      <c r="Q205" s="16"/>
      <c r="R205" s="10"/>
    </row>
    <row r="206" spans="2:18">
      <c r="B206" s="12"/>
      <c r="C206" s="16"/>
      <c r="D206" s="16"/>
      <c r="E206" s="49"/>
      <c r="F206" s="49"/>
      <c r="G206" s="16"/>
      <c r="H206" s="16"/>
      <c r="I206" s="16"/>
      <c r="J206" s="16"/>
      <c r="K206" s="16"/>
      <c r="L206" s="16"/>
      <c r="M206" s="16"/>
      <c r="N206" s="16"/>
      <c r="O206" s="16"/>
      <c r="P206" s="49"/>
      <c r="Q206" s="16"/>
      <c r="R206" s="10"/>
    </row>
    <row r="207" spans="2:18">
      <c r="B207" s="13"/>
      <c r="C207" s="22"/>
      <c r="D207" s="16"/>
      <c r="E207" s="49"/>
      <c r="F207" s="49"/>
      <c r="G207" s="16"/>
      <c r="H207" s="16"/>
      <c r="I207" s="16"/>
      <c r="J207" s="16"/>
      <c r="K207" s="16"/>
      <c r="L207" s="16"/>
      <c r="M207" s="16"/>
      <c r="N207" s="16"/>
      <c r="O207" s="16"/>
      <c r="P207" s="49"/>
      <c r="Q207" s="16"/>
      <c r="R207" s="10"/>
    </row>
    <row r="208" spans="2:18">
      <c r="B208" s="13"/>
      <c r="C208" s="22"/>
      <c r="D208" s="16"/>
      <c r="E208" s="49"/>
      <c r="F208" s="49"/>
      <c r="G208" s="16"/>
      <c r="H208" s="16"/>
      <c r="I208" s="16"/>
      <c r="J208" s="16"/>
      <c r="K208" s="16"/>
      <c r="L208" s="16"/>
      <c r="M208" s="16"/>
      <c r="N208" s="16"/>
      <c r="O208" s="16"/>
      <c r="P208" s="49"/>
      <c r="Q208" s="15"/>
      <c r="R208" s="10"/>
    </row>
    <row r="209" spans="2:18">
      <c r="B209" s="13"/>
      <c r="C209" s="22"/>
      <c r="D209" s="16"/>
      <c r="E209" s="49"/>
      <c r="F209" s="49"/>
      <c r="G209" s="16"/>
      <c r="H209" s="16"/>
      <c r="I209" s="16"/>
      <c r="J209" s="16"/>
      <c r="K209" s="16"/>
      <c r="L209" s="16"/>
      <c r="M209" s="16"/>
      <c r="N209" s="16"/>
      <c r="O209" s="16"/>
      <c r="P209" s="49"/>
      <c r="Q209" s="16"/>
      <c r="R209" s="10"/>
    </row>
    <row r="210" spans="2:18">
      <c r="B210" s="13"/>
      <c r="C210" s="22"/>
      <c r="D210" s="16"/>
      <c r="E210" s="49"/>
      <c r="F210" s="49"/>
      <c r="G210" s="16"/>
      <c r="H210" s="16"/>
      <c r="I210" s="16"/>
      <c r="J210" s="16"/>
      <c r="K210" s="16"/>
      <c r="L210" s="16"/>
      <c r="M210" s="16"/>
      <c r="N210" s="16"/>
      <c r="O210" s="16"/>
      <c r="P210" s="49"/>
      <c r="Q210" s="16"/>
      <c r="R210" s="10"/>
    </row>
    <row r="211" spans="2:18">
      <c r="B211" s="13"/>
      <c r="C211" s="22"/>
      <c r="D211" s="16"/>
      <c r="E211" s="49"/>
      <c r="F211" s="49"/>
      <c r="G211" s="16"/>
      <c r="H211" s="16"/>
      <c r="I211" s="16"/>
      <c r="J211" s="16"/>
      <c r="K211" s="16"/>
      <c r="L211" s="16"/>
      <c r="M211" s="16"/>
      <c r="N211" s="16"/>
      <c r="O211" s="16"/>
      <c r="P211" s="49"/>
      <c r="Q211" s="16"/>
      <c r="R211" s="10"/>
    </row>
    <row r="212" spans="2:18">
      <c r="B212" s="13"/>
      <c r="C212" s="22"/>
      <c r="D212" s="16"/>
      <c r="E212" s="49"/>
      <c r="F212" s="49"/>
      <c r="G212" s="16"/>
      <c r="H212" s="16"/>
      <c r="I212" s="16"/>
      <c r="J212" s="16"/>
      <c r="K212" s="16"/>
      <c r="L212" s="16"/>
      <c r="M212" s="16"/>
      <c r="N212" s="16"/>
      <c r="O212" s="16"/>
      <c r="P212" s="49"/>
      <c r="Q212" s="16"/>
      <c r="R212" s="10"/>
    </row>
    <row r="213" spans="2:18">
      <c r="B213" s="13"/>
      <c r="C213" s="22"/>
      <c r="D213" s="16"/>
      <c r="E213" s="49"/>
      <c r="F213" s="49"/>
      <c r="G213" s="16"/>
      <c r="H213" s="16"/>
      <c r="I213" s="16"/>
      <c r="J213" s="16"/>
      <c r="K213" s="16"/>
      <c r="L213" s="16"/>
      <c r="M213" s="16"/>
      <c r="N213" s="16"/>
      <c r="O213" s="16"/>
      <c r="P213" s="49"/>
      <c r="Q213" s="16"/>
      <c r="R213" s="10"/>
    </row>
    <row r="214" spans="2:18">
      <c r="B214" s="13"/>
      <c r="C214" s="22"/>
      <c r="D214" s="16"/>
      <c r="E214" s="49"/>
      <c r="F214" s="49"/>
      <c r="G214" s="16"/>
      <c r="H214" s="16"/>
      <c r="I214" s="16"/>
      <c r="J214" s="16"/>
      <c r="K214" s="16"/>
      <c r="L214" s="16"/>
      <c r="M214" s="16"/>
      <c r="N214" s="16"/>
      <c r="O214" s="16"/>
      <c r="P214" s="49"/>
      <c r="Q214" s="16"/>
      <c r="R214" s="10"/>
    </row>
    <row r="215" spans="2:18">
      <c r="B215" s="11"/>
      <c r="C215" s="10"/>
      <c r="D215" s="10"/>
      <c r="E215" s="10"/>
      <c r="F215" s="10"/>
      <c r="G215" s="10"/>
      <c r="H215" s="10"/>
      <c r="I215" s="10"/>
      <c r="J215" s="10"/>
      <c r="K215" s="10"/>
      <c r="L215" s="10"/>
      <c r="M215" s="10"/>
      <c r="N215" s="10"/>
      <c r="O215" s="10"/>
      <c r="P215" s="10"/>
      <c r="Q215" s="10"/>
      <c r="R215" s="10"/>
    </row>
    <row r="216" spans="2:18">
      <c r="B216" s="11"/>
      <c r="C216" s="10"/>
      <c r="D216" s="10"/>
      <c r="E216" s="10"/>
      <c r="F216" s="10"/>
      <c r="G216" s="10"/>
      <c r="H216" s="10"/>
      <c r="I216" s="10"/>
      <c r="J216" s="10"/>
      <c r="K216" s="10"/>
      <c r="L216" s="10"/>
      <c r="M216" s="10"/>
      <c r="N216" s="10"/>
      <c r="O216" s="10"/>
      <c r="P216" s="10"/>
      <c r="Q216" s="10"/>
      <c r="R216" s="10"/>
    </row>
    <row r="217" spans="2:18">
      <c r="B217" s="11"/>
      <c r="C217" s="14"/>
      <c r="D217" s="16"/>
      <c r="E217" s="49"/>
      <c r="F217" s="49"/>
      <c r="G217" s="16"/>
      <c r="H217" s="16"/>
      <c r="I217" s="16"/>
      <c r="J217" s="16"/>
      <c r="K217" s="16"/>
      <c r="L217" s="16"/>
      <c r="M217" s="16"/>
      <c r="N217" s="16"/>
      <c r="O217" s="16"/>
      <c r="P217" s="49"/>
      <c r="Q217" s="10"/>
      <c r="R217" s="10"/>
    </row>
    <row r="218" spans="2:18">
      <c r="B218" s="11"/>
      <c r="C218" s="14"/>
      <c r="D218" s="10"/>
      <c r="E218" s="10"/>
      <c r="F218" s="10"/>
      <c r="G218" s="10"/>
      <c r="H218" s="10"/>
      <c r="I218" s="10"/>
      <c r="J218" s="10"/>
      <c r="K218" s="10"/>
      <c r="L218" s="10"/>
      <c r="M218" s="10"/>
      <c r="N218" s="10"/>
      <c r="O218" s="16"/>
      <c r="P218" s="49"/>
      <c r="Q218" s="16"/>
      <c r="R218" s="10"/>
    </row>
    <row r="219" spans="2:18">
      <c r="B219" s="11"/>
      <c r="C219" s="14"/>
      <c r="D219" s="16"/>
      <c r="E219" s="49"/>
      <c r="F219" s="49"/>
      <c r="G219" s="16"/>
      <c r="H219" s="16"/>
      <c r="I219" s="16"/>
      <c r="J219" s="16"/>
      <c r="K219" s="16"/>
      <c r="L219" s="16"/>
      <c r="M219" s="16"/>
      <c r="N219" s="16"/>
      <c r="O219" s="16"/>
      <c r="P219" s="49"/>
      <c r="Q219" s="24"/>
      <c r="R219" s="10"/>
    </row>
    <row r="220" spans="2:18">
      <c r="B220" s="11"/>
      <c r="C220" s="14"/>
      <c r="D220" s="16"/>
      <c r="E220" s="49"/>
      <c r="F220" s="49"/>
      <c r="G220" s="16"/>
      <c r="H220" s="16"/>
      <c r="I220" s="16"/>
      <c r="J220" s="16"/>
      <c r="K220" s="16"/>
      <c r="L220" s="16"/>
      <c r="M220" s="16"/>
      <c r="N220" s="16"/>
      <c r="O220" s="16"/>
      <c r="P220" s="49"/>
      <c r="Q220" s="24"/>
      <c r="R220" s="10"/>
    </row>
    <row r="221" spans="2:18">
      <c r="B221" s="11"/>
      <c r="C221" s="14"/>
      <c r="D221" s="16"/>
      <c r="E221" s="49"/>
      <c r="F221" s="49"/>
      <c r="G221" s="16"/>
      <c r="H221" s="16"/>
      <c r="I221" s="16"/>
      <c r="J221" s="16"/>
      <c r="K221" s="16"/>
      <c r="L221" s="16"/>
      <c r="M221" s="16"/>
      <c r="N221" s="16"/>
      <c r="O221" s="16"/>
      <c r="P221" s="49"/>
      <c r="Q221" s="24"/>
      <c r="R221" s="10"/>
    </row>
    <row r="222" spans="2:18">
      <c r="B222" s="11"/>
      <c r="C222" s="10"/>
      <c r="D222" s="16"/>
      <c r="E222" s="49"/>
      <c r="F222" s="49"/>
      <c r="G222" s="16"/>
      <c r="H222" s="16"/>
      <c r="I222" s="16"/>
      <c r="J222" s="16"/>
      <c r="K222" s="16"/>
      <c r="L222" s="16"/>
      <c r="M222" s="16"/>
      <c r="N222" s="16"/>
      <c r="O222" s="10"/>
      <c r="P222" s="10"/>
      <c r="Q222" s="24"/>
      <c r="R222" s="10"/>
    </row>
    <row r="223" spans="2:18">
      <c r="B223" s="11"/>
      <c r="C223" s="14"/>
      <c r="D223" s="16"/>
      <c r="E223" s="49"/>
      <c r="F223" s="49"/>
      <c r="G223" s="16"/>
      <c r="H223" s="16"/>
      <c r="I223" s="16"/>
      <c r="J223" s="16"/>
      <c r="K223" s="16"/>
      <c r="L223" s="16"/>
      <c r="M223" s="16"/>
      <c r="N223" s="16"/>
      <c r="O223" s="16"/>
      <c r="P223" s="49"/>
      <c r="Q223" s="25"/>
      <c r="R223" s="10"/>
    </row>
    <row r="224" spans="2:18">
      <c r="B224" s="11"/>
      <c r="C224" s="14"/>
      <c r="D224" s="16"/>
      <c r="E224" s="49"/>
      <c r="F224" s="49"/>
      <c r="G224" s="16"/>
      <c r="H224" s="16"/>
      <c r="I224" s="16"/>
      <c r="J224" s="16"/>
      <c r="K224" s="16"/>
      <c r="L224" s="16"/>
      <c r="M224" s="16"/>
      <c r="N224" s="16"/>
      <c r="O224" s="16"/>
      <c r="P224" s="49"/>
      <c r="Q224" s="25"/>
      <c r="R224" s="10"/>
    </row>
    <row r="225" spans="2:18">
      <c r="B225" s="11"/>
      <c r="C225" s="14"/>
      <c r="D225" s="10"/>
      <c r="E225" s="10"/>
      <c r="F225" s="10"/>
      <c r="G225" s="10"/>
      <c r="H225" s="10"/>
      <c r="I225" s="10"/>
      <c r="J225" s="10"/>
      <c r="K225" s="10"/>
      <c r="L225" s="10"/>
      <c r="M225" s="10"/>
      <c r="N225" s="10"/>
      <c r="O225" s="16"/>
      <c r="P225" s="49"/>
      <c r="Q225" s="24"/>
      <c r="R225" s="10"/>
    </row>
    <row r="226" spans="2:18">
      <c r="B226" s="11"/>
      <c r="C226" s="14"/>
      <c r="D226" s="16"/>
      <c r="E226" s="49"/>
      <c r="F226" s="49"/>
      <c r="G226" s="16"/>
      <c r="H226" s="16"/>
      <c r="I226" s="16"/>
      <c r="J226" s="16"/>
      <c r="K226" s="16"/>
      <c r="L226" s="16"/>
      <c r="M226" s="16"/>
      <c r="N226" s="16"/>
      <c r="O226" s="16"/>
      <c r="P226" s="49"/>
      <c r="Q226" s="24"/>
      <c r="R226" s="10"/>
    </row>
    <row r="227" spans="2:18">
      <c r="B227" s="11"/>
      <c r="C227" s="14"/>
      <c r="D227" s="16"/>
      <c r="E227" s="49"/>
      <c r="F227" s="49"/>
      <c r="G227" s="16"/>
      <c r="H227" s="16"/>
      <c r="I227" s="16"/>
      <c r="J227" s="16"/>
      <c r="K227" s="16"/>
      <c r="L227" s="16"/>
      <c r="M227" s="16"/>
      <c r="N227" s="16"/>
      <c r="O227" s="16"/>
      <c r="P227" s="49"/>
      <c r="Q227" s="24"/>
      <c r="R227" s="10"/>
    </row>
    <row r="228" spans="2:18">
      <c r="B228" s="11"/>
      <c r="C228" s="10"/>
      <c r="D228" s="10"/>
      <c r="E228" s="10"/>
      <c r="F228" s="10"/>
      <c r="G228" s="10"/>
      <c r="H228" s="10"/>
      <c r="I228" s="10"/>
      <c r="J228" s="10"/>
      <c r="K228" s="10"/>
      <c r="L228" s="10"/>
      <c r="M228" s="10"/>
      <c r="N228" s="10"/>
      <c r="O228" s="10"/>
      <c r="P228" s="10"/>
      <c r="Q228" s="25"/>
      <c r="R228" s="10"/>
    </row>
    <row r="229" spans="2:18">
      <c r="B229" s="12"/>
      <c r="C229" s="16"/>
      <c r="D229" s="16"/>
      <c r="E229" s="49"/>
      <c r="F229" s="49"/>
      <c r="G229" s="16"/>
      <c r="H229" s="16"/>
      <c r="I229" s="10"/>
      <c r="J229" s="16"/>
      <c r="K229" s="16"/>
      <c r="L229" s="17"/>
      <c r="M229" s="16"/>
      <c r="N229" s="17"/>
      <c r="O229" s="16"/>
      <c r="P229" s="49"/>
      <c r="Q229" s="16"/>
      <c r="R229" s="10"/>
    </row>
  </sheetData>
  <sheetProtection password="CA47" sheet="1" objects="1" scenarios="1"/>
  <mergeCells count="6">
    <mergeCell ref="B33:P33"/>
    <mergeCell ref="B9:E9"/>
    <mergeCell ref="B107:D107"/>
    <mergeCell ref="R107:S107"/>
    <mergeCell ref="B17:D17"/>
    <mergeCell ref="G17:J17"/>
  </mergeCells>
  <pageMargins left="0.7" right="0.7" top="0.75" bottom="0.75" header="0.3" footer="0.3"/>
  <pageSetup paperSize="9" orientation="portrait" r:id="rId1"/>
  <ignoredErrors>
    <ignoredError sqref="M113" formula="1"/>
  </ignoredErrors>
  <legacyDrawing r:id="rId2"/>
</worksheet>
</file>

<file path=xl/worksheets/sheet6.xml><?xml version="1.0" encoding="utf-8"?>
<worksheet xmlns="http://schemas.openxmlformats.org/spreadsheetml/2006/main" xmlns:r="http://schemas.openxmlformats.org/officeDocument/2006/relationships">
  <sheetPr codeName="Sheet6"/>
  <dimension ref="A1:T99"/>
  <sheetViews>
    <sheetView workbookViewId="0">
      <selection activeCell="E40" sqref="E40"/>
    </sheetView>
  </sheetViews>
  <sheetFormatPr defaultRowHeight="14.4"/>
  <cols>
    <col min="1" max="1" width="5.5546875" customWidth="1"/>
    <col min="2" max="2" width="15.6640625" customWidth="1"/>
    <col min="3" max="3" width="22.33203125" customWidth="1"/>
    <col min="4" max="4" width="15.6640625" customWidth="1"/>
    <col min="5" max="5" width="14.44140625" customWidth="1"/>
    <col min="6" max="6" width="15.109375" customWidth="1"/>
    <col min="7" max="7" width="14.6640625" customWidth="1"/>
    <col min="8" max="8" width="24.109375" customWidth="1"/>
    <col min="9" max="9" width="10" bestFit="1" customWidth="1"/>
    <col min="10" max="12" width="10" customWidth="1"/>
    <col min="13" max="13" width="15.109375" customWidth="1"/>
    <col min="14" max="14" width="14.6640625" customWidth="1"/>
    <col min="15" max="15" width="11.5546875" customWidth="1"/>
  </cols>
  <sheetData>
    <row r="1" spans="1:14" ht="18">
      <c r="A1" s="71" t="s">
        <v>380</v>
      </c>
    </row>
    <row r="2" spans="1:14">
      <c r="A2" s="1"/>
    </row>
    <row r="3" spans="1:14" ht="28.95" customHeight="1">
      <c r="B3" s="32" t="s">
        <v>2</v>
      </c>
      <c r="K3" s="56"/>
      <c r="L3" s="3"/>
      <c r="M3" s="78"/>
      <c r="N3" s="78"/>
    </row>
    <row r="4" spans="1:14">
      <c r="B4" s="32" t="s">
        <v>259</v>
      </c>
      <c r="H4" s="56"/>
      <c r="K4" s="83"/>
      <c r="L4" s="82"/>
    </row>
    <row r="5" spans="1:14">
      <c r="B5" t="s">
        <v>76</v>
      </c>
      <c r="D5">
        <v>25</v>
      </c>
      <c r="H5" s="7"/>
      <c r="I5" s="7"/>
      <c r="K5" s="82"/>
      <c r="L5" s="82"/>
    </row>
    <row r="6" spans="1:14">
      <c r="B6" t="s">
        <v>77</v>
      </c>
      <c r="D6" s="46">
        <v>0.05</v>
      </c>
      <c r="K6" s="7"/>
      <c r="L6" s="7"/>
      <c r="M6" s="7"/>
    </row>
    <row r="7" spans="1:14">
      <c r="B7" t="s">
        <v>78</v>
      </c>
      <c r="D7" s="6">
        <f>(1-POWER(1+D6,-D5))/D6</f>
        <v>14.093944566044758</v>
      </c>
      <c r="K7" s="7"/>
      <c r="L7" s="7"/>
      <c r="M7" s="7"/>
    </row>
    <row r="8" spans="1:14">
      <c r="B8" t="s">
        <v>362</v>
      </c>
      <c r="D8" s="7">
        <f>1342/1.1</f>
        <v>1220</v>
      </c>
      <c r="E8" s="72" t="s">
        <v>357</v>
      </c>
      <c r="K8" s="7"/>
      <c r="L8" s="7"/>
      <c r="M8" s="7"/>
    </row>
    <row r="9" spans="1:14">
      <c r="B9" t="s">
        <v>358</v>
      </c>
      <c r="D9" s="7">
        <v>300</v>
      </c>
      <c r="E9" s="72" t="s">
        <v>359</v>
      </c>
      <c r="K9" s="7"/>
      <c r="L9" s="7"/>
      <c r="M9" s="7"/>
    </row>
    <row r="10" spans="1:14" ht="29.4" customHeight="1">
      <c r="B10" s="197" t="s">
        <v>538</v>
      </c>
      <c r="C10" s="197"/>
      <c r="D10" s="7">
        <f>IF(Summary!F13&gt;0,MAX(Summary!F11,'Cost of Supply'!K17),MAX(Summary!F11,'Cost of Supply'!K16))</f>
        <v>56</v>
      </c>
      <c r="K10" s="7"/>
      <c r="L10" s="7"/>
      <c r="M10" s="7"/>
    </row>
    <row r="11" spans="1:14">
      <c r="B11" t="s">
        <v>361</v>
      </c>
      <c r="D11" s="7">
        <f>(D8+D9)*D10</f>
        <v>85120</v>
      </c>
      <c r="H11" s="87"/>
      <c r="L11" s="7"/>
    </row>
    <row r="12" spans="1:14">
      <c r="B12" t="s">
        <v>75</v>
      </c>
      <c r="D12" s="7">
        <f>D11/D7</f>
        <v>6039.4731653104254</v>
      </c>
      <c r="E12" s="6"/>
    </row>
    <row r="13" spans="1:14">
      <c r="B13" t="s">
        <v>511</v>
      </c>
      <c r="D13" s="7">
        <f>D19</f>
        <v>1140</v>
      </c>
      <c r="E13" s="72" t="s">
        <v>233</v>
      </c>
    </row>
    <row r="14" spans="1:14">
      <c r="B14" s="1" t="s">
        <v>360</v>
      </c>
      <c r="C14" s="1"/>
      <c r="D14" s="59">
        <f>D12+D13</f>
        <v>7179.4731653104254</v>
      </c>
      <c r="E14" t="s">
        <v>300</v>
      </c>
      <c r="H14" s="7"/>
    </row>
    <row r="15" spans="1:14">
      <c r="D15" s="7"/>
    </row>
    <row r="16" spans="1:14">
      <c r="B16" s="32" t="s">
        <v>260</v>
      </c>
    </row>
    <row r="17" spans="1:20">
      <c r="B17" t="s">
        <v>301</v>
      </c>
      <c r="D17" s="7">
        <v>300</v>
      </c>
      <c r="H17" s="50"/>
      <c r="I17" s="50"/>
      <c r="J17" s="50"/>
      <c r="K17" s="7"/>
    </row>
    <row r="18" spans="1:20" ht="28.2" customHeight="1">
      <c r="B18" s="197" t="s">
        <v>302</v>
      </c>
      <c r="C18" s="197"/>
      <c r="D18" s="7">
        <v>3</v>
      </c>
      <c r="K18" s="7"/>
    </row>
    <row r="19" spans="1:20">
      <c r="B19" t="s">
        <v>303</v>
      </c>
      <c r="D19" s="7">
        <f>(D10*1000/200*D18)+IF(D10&gt;0,D17,0)</f>
        <v>1140</v>
      </c>
      <c r="K19" s="7"/>
    </row>
    <row r="20" spans="1:20" ht="29.4" customHeight="1">
      <c r="B20" s="197" t="s">
        <v>304</v>
      </c>
      <c r="C20" s="197"/>
      <c r="D20" s="7">
        <f>D10*33/1.1</f>
        <v>1679.9999999999998</v>
      </c>
      <c r="E20" t="s">
        <v>319</v>
      </c>
      <c r="K20" s="7"/>
    </row>
    <row r="21" spans="1:20">
      <c r="B21" s="55"/>
      <c r="D21" s="50"/>
      <c r="K21" s="7"/>
    </row>
    <row r="22" spans="1:20">
      <c r="B22" t="s">
        <v>105</v>
      </c>
      <c r="J22" s="7"/>
    </row>
    <row r="23" spans="1:20">
      <c r="B23" t="s">
        <v>106</v>
      </c>
      <c r="J23" s="7"/>
    </row>
    <row r="24" spans="1:20">
      <c r="B24" t="s">
        <v>82</v>
      </c>
      <c r="J24" s="7"/>
    </row>
    <row r="25" spans="1:20">
      <c r="B25" t="s">
        <v>351</v>
      </c>
      <c r="J25" s="7"/>
    </row>
    <row r="26" spans="1:20">
      <c r="J26" s="7"/>
    </row>
    <row r="27" spans="1:20">
      <c r="A27" s="10"/>
      <c r="B27" s="32" t="s">
        <v>408</v>
      </c>
      <c r="C27" s="80"/>
      <c r="D27" s="124" t="s">
        <v>409</v>
      </c>
      <c r="E27" s="80"/>
      <c r="F27" s="17" t="s">
        <v>188</v>
      </c>
      <c r="G27" s="49"/>
      <c r="H27" s="49"/>
      <c r="I27" s="49"/>
      <c r="J27" s="49"/>
      <c r="K27" s="49"/>
      <c r="L27" s="49"/>
      <c r="M27" s="49"/>
      <c r="N27" s="49"/>
      <c r="O27" s="49"/>
      <c r="P27" s="15"/>
      <c r="Q27" s="10"/>
      <c r="R27" s="10"/>
      <c r="S27" s="2"/>
      <c r="T27" s="2"/>
    </row>
    <row r="28" spans="1:20">
      <c r="L28" s="7"/>
    </row>
    <row r="29" spans="1:20">
      <c r="B29" s="32" t="s">
        <v>363</v>
      </c>
      <c r="L29" s="7"/>
    </row>
    <row r="30" spans="1:20">
      <c r="B30" t="s">
        <v>365</v>
      </c>
      <c r="L30" s="7"/>
    </row>
    <row r="31" spans="1:20">
      <c r="B31" t="s">
        <v>364</v>
      </c>
      <c r="L31" s="7"/>
    </row>
    <row r="32" spans="1:20">
      <c r="B32" t="s">
        <v>367</v>
      </c>
      <c r="L32" s="7"/>
    </row>
    <row r="33" spans="2:18">
      <c r="B33" t="s">
        <v>366</v>
      </c>
      <c r="L33" s="7"/>
    </row>
    <row r="34" spans="2:18">
      <c r="L34" s="7"/>
    </row>
    <row r="35" spans="2:18">
      <c r="B35" s="32" t="s">
        <v>12</v>
      </c>
    </row>
    <row r="36" spans="2:18">
      <c r="B36" t="s">
        <v>352</v>
      </c>
      <c r="O36" s="39"/>
      <c r="P36" s="39"/>
      <c r="Q36" s="39"/>
      <c r="R36" s="39"/>
    </row>
    <row r="37" spans="2:18">
      <c r="B37" t="s">
        <v>353</v>
      </c>
      <c r="O37" s="39"/>
      <c r="P37" s="39"/>
      <c r="Q37" s="39"/>
      <c r="R37" s="39"/>
    </row>
    <row r="38" spans="2:18">
      <c r="B38" t="s">
        <v>354</v>
      </c>
    </row>
    <row r="39" spans="2:18">
      <c r="B39" t="s">
        <v>355</v>
      </c>
    </row>
    <row r="40" spans="2:18">
      <c r="B40" t="s">
        <v>356</v>
      </c>
    </row>
    <row r="42" spans="2:18">
      <c r="B42" s="32" t="s">
        <v>107</v>
      </c>
    </row>
    <row r="43" spans="2:18">
      <c r="H43" t="s">
        <v>15</v>
      </c>
      <c r="I43" t="s">
        <v>16</v>
      </c>
    </row>
    <row r="44" spans="2:18">
      <c r="H44" t="s">
        <v>17</v>
      </c>
      <c r="I44">
        <v>1075</v>
      </c>
    </row>
    <row r="45" spans="2:18">
      <c r="H45" t="s">
        <v>18</v>
      </c>
      <c r="I45">
        <v>1181</v>
      </c>
    </row>
    <row r="46" spans="2:18">
      <c r="H46" s="4" t="s">
        <v>298</v>
      </c>
      <c r="I46" s="47">
        <v>1342</v>
      </c>
      <c r="J46" t="s">
        <v>305</v>
      </c>
    </row>
    <row r="47" spans="2:18">
      <c r="B47" s="5"/>
      <c r="H47" t="s">
        <v>19</v>
      </c>
      <c r="I47">
        <v>2693</v>
      </c>
    </row>
    <row r="48" spans="2:18">
      <c r="H48" t="s">
        <v>20</v>
      </c>
      <c r="I48">
        <v>2738</v>
      </c>
    </row>
    <row r="49" spans="2:13">
      <c r="B49" s="5"/>
      <c r="H49" t="s">
        <v>21</v>
      </c>
      <c r="I49">
        <v>3351</v>
      </c>
    </row>
    <row r="50" spans="2:13">
      <c r="H50" t="s">
        <v>22</v>
      </c>
      <c r="I50">
        <v>5114</v>
      </c>
    </row>
    <row r="51" spans="2:13">
      <c r="H51" t="s">
        <v>23</v>
      </c>
      <c r="I51">
        <v>5457</v>
      </c>
    </row>
    <row r="52" spans="2:13" ht="29.4" customHeight="1">
      <c r="H52" s="195" t="s">
        <v>261</v>
      </c>
      <c r="I52" s="195"/>
      <c r="J52" s="195"/>
      <c r="K52" s="195"/>
      <c r="L52" s="195"/>
    </row>
    <row r="53" spans="2:13" ht="14.4" customHeight="1">
      <c r="H53" t="s">
        <v>299</v>
      </c>
      <c r="I53" s="3"/>
      <c r="J53" s="3"/>
      <c r="K53" s="3"/>
      <c r="L53" s="3"/>
      <c r="M53" s="3"/>
    </row>
    <row r="57" spans="2:13" ht="15" customHeight="1"/>
    <row r="58" spans="2:13" ht="13.95" customHeight="1">
      <c r="C58" s="3"/>
      <c r="D58" s="3"/>
    </row>
    <row r="59" spans="2:13">
      <c r="D59" s="7"/>
    </row>
    <row r="60" spans="2:13">
      <c r="D60" s="7"/>
    </row>
    <row r="62" spans="2:13">
      <c r="D62" s="7"/>
    </row>
    <row r="63" spans="2:13">
      <c r="D63" s="7"/>
    </row>
    <row r="66" spans="2:15">
      <c r="H66" s="72" t="s">
        <v>185</v>
      </c>
      <c r="I66" s="72"/>
      <c r="J66" s="72"/>
      <c r="K66" s="72"/>
      <c r="L66" s="72"/>
      <c r="M66" s="72"/>
      <c r="N66" s="72"/>
      <c r="O66" s="72"/>
    </row>
    <row r="67" spans="2:15" ht="14.4" customHeight="1">
      <c r="H67" s="195" t="s">
        <v>186</v>
      </c>
      <c r="I67" s="195"/>
      <c r="J67" s="195"/>
      <c r="K67" s="195"/>
      <c r="L67" s="195"/>
      <c r="M67" s="195"/>
      <c r="N67" s="195"/>
      <c r="O67" s="195"/>
    </row>
    <row r="68" spans="2:15" ht="14.4" customHeight="1">
      <c r="H68" s="107" t="s">
        <v>297</v>
      </c>
      <c r="I68" s="107"/>
      <c r="J68" s="107"/>
      <c r="K68" s="107"/>
      <c r="L68" s="107"/>
      <c r="M68" s="107"/>
      <c r="N68" s="107"/>
      <c r="O68" s="107"/>
    </row>
    <row r="69" spans="2:15">
      <c r="B69" s="32" t="s">
        <v>369</v>
      </c>
      <c r="C69" s="32"/>
      <c r="D69" s="32"/>
    </row>
    <row r="70" spans="2:15">
      <c r="B70" s="72" t="s">
        <v>421</v>
      </c>
      <c r="C70" s="115"/>
      <c r="D70" s="115"/>
      <c r="E70" s="72"/>
      <c r="F70" s="72"/>
    </row>
    <row r="71" spans="2:15">
      <c r="B71" s="2" t="s">
        <v>413</v>
      </c>
      <c r="C71" s="115"/>
      <c r="D71">
        <v>0</v>
      </c>
      <c r="E71" s="125">
        <v>50</v>
      </c>
      <c r="F71" s="125">
        <v>50</v>
      </c>
      <c r="G71" s="2">
        <v>50</v>
      </c>
      <c r="H71" t="s">
        <v>478</v>
      </c>
    </row>
    <row r="72" spans="2:15">
      <c r="B72" s="2" t="s">
        <v>420</v>
      </c>
      <c r="C72" s="115"/>
      <c r="D72">
        <v>0</v>
      </c>
      <c r="E72" s="125">
        <v>2</v>
      </c>
      <c r="F72" s="125">
        <v>3</v>
      </c>
      <c r="G72" s="2">
        <v>4</v>
      </c>
    </row>
    <row r="73" spans="2:15">
      <c r="B73" s="2" t="s">
        <v>512</v>
      </c>
      <c r="C73" s="115"/>
      <c r="D73">
        <v>0</v>
      </c>
      <c r="E73" s="125">
        <v>100</v>
      </c>
      <c r="F73" s="125">
        <v>190</v>
      </c>
      <c r="G73" s="2">
        <v>210</v>
      </c>
      <c r="H73" t="s">
        <v>477</v>
      </c>
    </row>
    <row r="74" spans="2:15">
      <c r="B74" s="2" t="s">
        <v>513</v>
      </c>
      <c r="C74" s="115"/>
      <c r="D74">
        <v>0</v>
      </c>
      <c r="E74" s="125">
        <f>E73*31</f>
        <v>3100</v>
      </c>
      <c r="F74" s="125">
        <f t="shared" ref="F74:G74" si="0">F73*31</f>
        <v>5890</v>
      </c>
      <c r="G74" s="125">
        <f t="shared" si="0"/>
        <v>6510</v>
      </c>
    </row>
    <row r="75" spans="2:15">
      <c r="B75" s="2" t="s">
        <v>414</v>
      </c>
      <c r="C75" s="115"/>
      <c r="D75">
        <v>0</v>
      </c>
      <c r="E75" s="125">
        <v>79920</v>
      </c>
      <c r="F75" s="125">
        <v>133500</v>
      </c>
      <c r="G75" s="2">
        <v>144870</v>
      </c>
    </row>
    <row r="76" spans="2:15">
      <c r="B76" s="2"/>
      <c r="C76" s="115"/>
      <c r="E76" s="125"/>
      <c r="F76" s="125"/>
      <c r="G76" s="2"/>
    </row>
    <row r="77" spans="2:15">
      <c r="B77" s="2" t="s">
        <v>475</v>
      </c>
      <c r="C77" s="115"/>
      <c r="E77" s="125"/>
      <c r="F77" s="125"/>
      <c r="G77" s="2"/>
    </row>
    <row r="78" spans="2:15">
      <c r="B78" s="2" t="s">
        <v>476</v>
      </c>
      <c r="C78" s="115"/>
      <c r="E78" s="125"/>
      <c r="F78" s="125"/>
      <c r="G78" s="2"/>
    </row>
    <row r="79" spans="2:15">
      <c r="B79" s="2" t="s">
        <v>479</v>
      </c>
      <c r="C79" s="115"/>
      <c r="E79" s="125"/>
      <c r="F79" s="125"/>
      <c r="G79" s="2"/>
    </row>
    <row r="80" spans="2:15">
      <c r="B80" s="2" t="s">
        <v>480</v>
      </c>
      <c r="C80" s="115"/>
      <c r="E80" s="125"/>
      <c r="F80" s="125"/>
      <c r="G80" s="2"/>
    </row>
    <row r="81" spans="2:7">
      <c r="B81" s="2" t="s">
        <v>481</v>
      </c>
      <c r="C81" s="115"/>
      <c r="E81" s="125"/>
      <c r="F81" s="125"/>
      <c r="G81" s="2"/>
    </row>
    <row r="83" spans="2:7">
      <c r="B83" s="1" t="s">
        <v>368</v>
      </c>
      <c r="C83" s="1"/>
      <c r="D83" s="1"/>
    </row>
    <row r="84" spans="2:7">
      <c r="B84" t="s">
        <v>76</v>
      </c>
      <c r="D84" s="7">
        <v>10</v>
      </c>
      <c r="E84" t="s">
        <v>418</v>
      </c>
    </row>
    <row r="85" spans="2:7">
      <c r="B85" t="s">
        <v>401</v>
      </c>
      <c r="D85" s="100">
        <v>0.05</v>
      </c>
    </row>
    <row r="86" spans="2:7">
      <c r="B86" t="s">
        <v>402</v>
      </c>
      <c r="D86" s="6">
        <f>(1-POWER(1+D85,-D84))/D85</f>
        <v>7.7217349291848132</v>
      </c>
    </row>
    <row r="87" spans="2:7">
      <c r="B87" t="s">
        <v>422</v>
      </c>
      <c r="D87" s="7">
        <f>Summary!F12</f>
        <v>0</v>
      </c>
    </row>
    <row r="88" spans="2:7">
      <c r="B88" t="s">
        <v>420</v>
      </c>
      <c r="D88" s="7">
        <f>Summary!F13</f>
        <v>0</v>
      </c>
    </row>
    <row r="89" spans="2:7">
      <c r="B89" t="str">
        <f>B73</f>
        <v>Total capacity of battery per day (kWh)</v>
      </c>
      <c r="D89">
        <f>HLOOKUP(D88,D72:G75,2,FALSE)</f>
        <v>0</v>
      </c>
    </row>
    <row r="90" spans="2:7" ht="28.2" customHeight="1">
      <c r="B90" s="197" t="s">
        <v>412</v>
      </c>
      <c r="C90" s="197"/>
      <c r="D90" s="7">
        <f>HLOOKUP(D88,D72:G75,4,FALSE)</f>
        <v>0</v>
      </c>
    </row>
    <row r="91" spans="2:7" ht="28.2" customHeight="1">
      <c r="B91" s="197" t="s">
        <v>514</v>
      </c>
      <c r="C91" s="197"/>
      <c r="D91" s="7">
        <f>D90*1.2</f>
        <v>0</v>
      </c>
    </row>
    <row r="92" spans="2:7">
      <c r="B92" t="s">
        <v>403</v>
      </c>
      <c r="D92" s="7">
        <v>0</v>
      </c>
      <c r="E92" t="s">
        <v>407</v>
      </c>
    </row>
    <row r="93" spans="2:7" ht="28.95" customHeight="1">
      <c r="B93" s="208" t="s">
        <v>515</v>
      </c>
      <c r="C93" s="208"/>
      <c r="D93" s="59">
        <f>(D91+D92)/D86</f>
        <v>0</v>
      </c>
      <c r="E93" s="1"/>
    </row>
    <row r="94" spans="2:7">
      <c r="B94" s="72" t="s">
        <v>516</v>
      </c>
      <c r="D94" s="7"/>
    </row>
    <row r="95" spans="2:7">
      <c r="B95" s="72" t="s">
        <v>517</v>
      </c>
      <c r="D95" s="7"/>
    </row>
    <row r="96" spans="2:7">
      <c r="D96" s="7"/>
    </row>
    <row r="97" spans="2:13">
      <c r="B97" s="69"/>
      <c r="C97" s="69"/>
      <c r="D97" s="69"/>
      <c r="E97" s="69"/>
      <c r="F97" s="69"/>
      <c r="G97" s="69"/>
      <c r="H97" s="69"/>
      <c r="I97" s="69"/>
      <c r="J97" s="69"/>
      <c r="K97" s="69"/>
      <c r="L97" s="69"/>
      <c r="M97" s="69"/>
    </row>
    <row r="99" spans="2:13">
      <c r="D99" s="7"/>
    </row>
  </sheetData>
  <sheetProtection password="CA47" sheet="1" objects="1" scenarios="1"/>
  <mergeCells count="8">
    <mergeCell ref="B10:C10"/>
    <mergeCell ref="B93:C93"/>
    <mergeCell ref="H67:O67"/>
    <mergeCell ref="H52:L52"/>
    <mergeCell ref="B20:C20"/>
    <mergeCell ref="B18:C18"/>
    <mergeCell ref="B90:C90"/>
    <mergeCell ref="B91:C91"/>
  </mergeCells>
  <pageMargins left="0.7" right="0.7" top="0.75" bottom="0.75" header="0.3" footer="0.3"/>
  <pageSetup paperSize="9" orientation="portrait" horizontalDpi="4294967293" verticalDpi="0" r:id="rId1"/>
  <drawing r:id="rId2"/>
  <legacyDrawing r:id="rId3"/>
</worksheet>
</file>

<file path=xl/worksheets/sheet7.xml><?xml version="1.0" encoding="utf-8"?>
<worksheet xmlns="http://schemas.openxmlformats.org/spreadsheetml/2006/main" xmlns:r="http://schemas.openxmlformats.org/officeDocument/2006/relationships">
  <sheetPr codeName="Sheet7"/>
  <dimension ref="A1:Q37"/>
  <sheetViews>
    <sheetView workbookViewId="0">
      <selection activeCell="F16" sqref="F16"/>
    </sheetView>
  </sheetViews>
  <sheetFormatPr defaultRowHeight="14.4"/>
  <cols>
    <col min="3" max="3" width="9.33203125" customWidth="1"/>
  </cols>
  <sheetData>
    <row r="1" spans="1:8" ht="18">
      <c r="A1" s="71" t="s">
        <v>11</v>
      </c>
    </row>
    <row r="2" spans="1:8">
      <c r="A2" s="1"/>
    </row>
    <row r="3" spans="1:8">
      <c r="B3" s="51" t="s">
        <v>95</v>
      </c>
    </row>
    <row r="4" spans="1:8">
      <c r="B4" s="72" t="s">
        <v>225</v>
      </c>
    </row>
    <row r="6" spans="1:8">
      <c r="B6" s="1" t="s">
        <v>229</v>
      </c>
    </row>
    <row r="7" spans="1:8">
      <c r="B7" t="s">
        <v>87</v>
      </c>
      <c r="D7" t="s">
        <v>91</v>
      </c>
      <c r="E7" t="s">
        <v>90</v>
      </c>
      <c r="F7" t="s">
        <v>89</v>
      </c>
      <c r="G7" t="s">
        <v>88</v>
      </c>
    </row>
    <row r="8" spans="1:8">
      <c r="B8" t="s">
        <v>92</v>
      </c>
      <c r="D8">
        <v>393</v>
      </c>
      <c r="E8">
        <v>341</v>
      </c>
      <c r="F8">
        <v>292</v>
      </c>
      <c r="G8">
        <v>357</v>
      </c>
    </row>
    <row r="9" spans="1:8">
      <c r="B9" t="s">
        <v>93</v>
      </c>
      <c r="D9">
        <v>1042</v>
      </c>
      <c r="E9">
        <v>952</v>
      </c>
      <c r="F9">
        <v>796</v>
      </c>
      <c r="G9">
        <v>1051</v>
      </c>
    </row>
    <row r="11" spans="1:8">
      <c r="B11" s="1" t="s">
        <v>224</v>
      </c>
      <c r="D11" s="1"/>
      <c r="E11" s="1"/>
    </row>
    <row r="12" spans="1:8">
      <c r="B12" t="s">
        <v>94</v>
      </c>
      <c r="D12" t="s">
        <v>91</v>
      </c>
      <c r="E12" t="s">
        <v>90</v>
      </c>
      <c r="F12" t="s">
        <v>89</v>
      </c>
      <c r="G12" t="s">
        <v>88</v>
      </c>
    </row>
    <row r="13" spans="1:8">
      <c r="B13" t="s">
        <v>92</v>
      </c>
      <c r="D13">
        <v>3.6</v>
      </c>
      <c r="E13">
        <v>3</v>
      </c>
      <c r="F13">
        <v>2.8</v>
      </c>
      <c r="G13">
        <v>3.2</v>
      </c>
    </row>
    <row r="14" spans="1:8">
      <c r="B14" t="s">
        <v>93</v>
      </c>
      <c r="D14">
        <v>7</v>
      </c>
      <c r="E14">
        <v>6.2</v>
      </c>
      <c r="F14">
        <v>6.1</v>
      </c>
      <c r="G14">
        <v>6.8</v>
      </c>
    </row>
    <row r="16" spans="1:8">
      <c r="B16" s="72" t="s">
        <v>228</v>
      </c>
      <c r="D16" s="72"/>
      <c r="E16" s="72"/>
      <c r="F16" s="72"/>
      <c r="G16" s="72"/>
      <c r="H16" s="72"/>
    </row>
    <row r="25" spans="2:4">
      <c r="B25" s="51" t="s">
        <v>102</v>
      </c>
    </row>
    <row r="26" spans="2:4">
      <c r="B26" t="s">
        <v>98</v>
      </c>
    </row>
    <row r="27" spans="2:4">
      <c r="B27" t="s">
        <v>226</v>
      </c>
    </row>
    <row r="28" spans="2:4">
      <c r="B28" t="s">
        <v>227</v>
      </c>
    </row>
    <row r="29" spans="2:4">
      <c r="B29" t="s">
        <v>99</v>
      </c>
    </row>
    <row r="31" spans="2:4">
      <c r="B31" s="51" t="s">
        <v>223</v>
      </c>
      <c r="C31" s="1"/>
      <c r="D31" s="1"/>
    </row>
    <row r="32" spans="2:4">
      <c r="B32" t="s">
        <v>100</v>
      </c>
    </row>
    <row r="33" spans="2:17">
      <c r="B33" t="s">
        <v>101</v>
      </c>
    </row>
    <row r="34" spans="2:17">
      <c r="B34" t="s">
        <v>103</v>
      </c>
    </row>
    <row r="35" spans="2:17">
      <c r="B35" t="s">
        <v>104</v>
      </c>
    </row>
    <row r="37" spans="2:17">
      <c r="B37" s="69"/>
      <c r="C37" s="69"/>
      <c r="D37" s="69"/>
      <c r="E37" s="69"/>
      <c r="F37" s="69"/>
      <c r="G37" s="69"/>
      <c r="H37" s="69"/>
      <c r="I37" s="69"/>
      <c r="J37" s="69"/>
      <c r="K37" s="69"/>
      <c r="L37" s="69"/>
      <c r="M37" s="69"/>
      <c r="N37" s="69"/>
      <c r="O37" s="69"/>
      <c r="P37" s="69"/>
      <c r="Q37" s="69"/>
    </row>
  </sheetData>
  <sheetProtection password="CA47" sheet="1" objects="1" scenarios="1"/>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sheetPr codeName="Sheet8"/>
  <dimension ref="A1:Q28"/>
  <sheetViews>
    <sheetView workbookViewId="0">
      <selection activeCell="H15" sqref="H15"/>
    </sheetView>
  </sheetViews>
  <sheetFormatPr defaultRowHeight="14.4"/>
  <cols>
    <col min="5" max="5" width="10.6640625" customWidth="1"/>
    <col min="6" max="6" width="18.33203125" customWidth="1"/>
    <col min="7" max="7" width="26.5546875" customWidth="1"/>
    <col min="8" max="8" width="11.6640625" customWidth="1"/>
  </cols>
  <sheetData>
    <row r="1" spans="1:11" ht="18">
      <c r="A1" s="70" t="s">
        <v>150</v>
      </c>
    </row>
    <row r="3" spans="1:11">
      <c r="B3" s="51" t="s">
        <v>222</v>
      </c>
    </row>
    <row r="4" spans="1:11">
      <c r="B4" s="51"/>
    </row>
    <row r="5" spans="1:11">
      <c r="B5" s="51" t="s">
        <v>180</v>
      </c>
      <c r="C5" s="1"/>
      <c r="D5" s="1"/>
      <c r="E5" s="1"/>
      <c r="F5" s="51" t="s">
        <v>194</v>
      </c>
      <c r="G5" s="51" t="s">
        <v>208</v>
      </c>
      <c r="H5" s="51" t="s">
        <v>195</v>
      </c>
      <c r="J5" s="51" t="s">
        <v>499</v>
      </c>
    </row>
    <row r="6" spans="1:11">
      <c r="B6" s="2" t="s">
        <v>181</v>
      </c>
      <c r="C6" s="2"/>
      <c r="D6" s="2"/>
      <c r="E6" s="2"/>
      <c r="F6" s="77" t="s">
        <v>221</v>
      </c>
      <c r="G6" s="76">
        <v>4.1000000000000002E-2</v>
      </c>
      <c r="H6" s="75" t="s">
        <v>196</v>
      </c>
      <c r="J6" s="1" t="s">
        <v>196</v>
      </c>
      <c r="K6" t="s">
        <v>210</v>
      </c>
    </row>
    <row r="7" spans="1:11">
      <c r="B7" s="2" t="s">
        <v>204</v>
      </c>
      <c r="C7" s="2"/>
      <c r="D7" s="2"/>
      <c r="E7" s="2"/>
      <c r="F7" s="75" t="s">
        <v>192</v>
      </c>
      <c r="G7" s="76">
        <v>5.3999999999999999E-2</v>
      </c>
      <c r="H7" s="75" t="s">
        <v>198</v>
      </c>
      <c r="J7" s="1" t="s">
        <v>198</v>
      </c>
      <c r="K7" t="s">
        <v>219</v>
      </c>
    </row>
    <row r="8" spans="1:11">
      <c r="B8" s="2" t="s">
        <v>203</v>
      </c>
      <c r="C8" s="2"/>
      <c r="D8" s="2"/>
      <c r="E8" s="2"/>
      <c r="F8" s="75" t="s">
        <v>191</v>
      </c>
      <c r="G8" s="76">
        <v>5.3999999999999999E-2</v>
      </c>
      <c r="H8" s="75" t="s">
        <v>198</v>
      </c>
      <c r="J8" s="1" t="s">
        <v>197</v>
      </c>
      <c r="K8" t="s">
        <v>218</v>
      </c>
    </row>
    <row r="9" spans="1:11">
      <c r="B9" s="2" t="s">
        <v>310</v>
      </c>
      <c r="C9" s="2"/>
      <c r="D9" s="2"/>
      <c r="E9" s="2"/>
      <c r="F9" s="74">
        <v>0.1</v>
      </c>
      <c r="G9" s="76">
        <v>6.4000000000000001E-2</v>
      </c>
      <c r="H9" s="75" t="s">
        <v>198</v>
      </c>
      <c r="J9" s="1" t="s">
        <v>199</v>
      </c>
      <c r="K9" t="s">
        <v>200</v>
      </c>
    </row>
    <row r="10" spans="1:11">
      <c r="B10" s="2" t="s">
        <v>207</v>
      </c>
      <c r="C10" s="2"/>
      <c r="D10" s="2"/>
      <c r="E10" s="2"/>
      <c r="F10" s="74" t="s">
        <v>192</v>
      </c>
      <c r="G10" s="76">
        <v>4.8000000000000001E-2</v>
      </c>
      <c r="H10" s="75" t="s">
        <v>198</v>
      </c>
    </row>
    <row r="11" spans="1:11">
      <c r="B11" s="2" t="s">
        <v>201</v>
      </c>
      <c r="C11" s="84"/>
      <c r="D11" s="2"/>
      <c r="E11" s="85"/>
      <c r="F11" s="77" t="s">
        <v>184</v>
      </c>
      <c r="G11" s="76">
        <v>0.04</v>
      </c>
      <c r="H11" s="75" t="s">
        <v>198</v>
      </c>
    </row>
    <row r="12" spans="1:11">
      <c r="B12" s="2" t="s">
        <v>220</v>
      </c>
      <c r="C12" s="84"/>
      <c r="D12" s="2"/>
      <c r="E12" s="85"/>
      <c r="F12" s="77" t="s">
        <v>217</v>
      </c>
      <c r="G12" s="76">
        <v>2.3E-2</v>
      </c>
      <c r="H12" s="75" t="s">
        <v>197</v>
      </c>
    </row>
    <row r="13" spans="1:11" ht="14.4" customHeight="1">
      <c r="B13" s="2" t="s">
        <v>182</v>
      </c>
      <c r="C13" s="2"/>
      <c r="D13" s="2"/>
      <c r="E13" s="2"/>
      <c r="F13" s="77" t="s">
        <v>183</v>
      </c>
      <c r="G13" s="76">
        <v>8.9999999999999993E-3</v>
      </c>
      <c r="H13" s="75" t="s">
        <v>197</v>
      </c>
    </row>
    <row r="14" spans="1:11">
      <c r="B14" s="2" t="s">
        <v>206</v>
      </c>
      <c r="C14" s="2"/>
      <c r="D14" s="2"/>
      <c r="E14" s="2"/>
      <c r="F14" s="74" t="s">
        <v>192</v>
      </c>
      <c r="G14" s="76">
        <v>2E-3</v>
      </c>
      <c r="H14" s="75" t="s">
        <v>199</v>
      </c>
    </row>
    <row r="15" spans="1:11" ht="42" customHeight="1">
      <c r="B15" s="194" t="s">
        <v>205</v>
      </c>
      <c r="C15" s="194"/>
      <c r="D15" s="194"/>
      <c r="E15" s="194"/>
      <c r="F15" s="74" t="s">
        <v>192</v>
      </c>
      <c r="G15" s="137" t="s">
        <v>193</v>
      </c>
      <c r="H15" s="75" t="s">
        <v>199</v>
      </c>
    </row>
    <row r="16" spans="1:11" ht="15" customHeight="1">
      <c r="B16" s="138" t="s">
        <v>497</v>
      </c>
      <c r="C16" s="132"/>
      <c r="D16" s="132"/>
      <c r="E16" s="132"/>
      <c r="F16" s="74"/>
      <c r="G16" s="137"/>
      <c r="H16" s="75"/>
      <c r="J16" s="133" t="s">
        <v>499</v>
      </c>
    </row>
    <row r="17" spans="2:17" ht="15" customHeight="1">
      <c r="B17" s="132"/>
      <c r="C17" s="132" t="s">
        <v>490</v>
      </c>
      <c r="D17" s="132"/>
      <c r="E17" s="132"/>
      <c r="F17" s="74" t="s">
        <v>498</v>
      </c>
      <c r="G17" s="139">
        <f>('Cost of Supply'!Q112/'Cost of Supply'!Q103-1)</f>
        <v>0</v>
      </c>
      <c r="H17" s="75" t="str">
        <f>IF(G17&lt;=0%,"Nil",IF(G17&lt;11%,"Low",IF(G17&lt;21%,"Medium",IF(G17&gt;=21%,"High"))))</f>
        <v>Nil</v>
      </c>
      <c r="J17" s="1" t="str">
        <f>J6</f>
        <v>High</v>
      </c>
      <c r="K17" t="s">
        <v>503</v>
      </c>
    </row>
    <row r="18" spans="2:17" ht="15" customHeight="1">
      <c r="B18" s="132"/>
      <c r="C18" s="132" t="s">
        <v>492</v>
      </c>
      <c r="D18" s="132"/>
      <c r="E18" s="132"/>
      <c r="F18" s="74" t="s">
        <v>498</v>
      </c>
      <c r="G18" s="139">
        <f>('Cost of Supply'!Q108/'Cost of Supply'!Q99-1)</f>
        <v>0.16095329783051682</v>
      </c>
      <c r="H18" s="75" t="str">
        <f t="shared" ref="H18:H23" si="0">IF(G18&lt;=0%,"Nil",IF(G18&lt;11%,"Low",IF(G18&lt;21%,"Medium",IF(G18&gt;=21%,"High"))))</f>
        <v>Medium</v>
      </c>
      <c r="J18" s="1" t="str">
        <f t="shared" ref="J18:J20" si="1">J7</f>
        <v>Medium</v>
      </c>
      <c r="K18" t="s">
        <v>502</v>
      </c>
    </row>
    <row r="19" spans="2:17" ht="15" customHeight="1">
      <c r="B19" s="132"/>
      <c r="C19" s="132" t="s">
        <v>491</v>
      </c>
      <c r="D19" s="132"/>
      <c r="E19" s="132"/>
      <c r="F19" s="74" t="s">
        <v>498</v>
      </c>
      <c r="G19" s="139">
        <f>('Cost of Supply'!Q113/'Cost of Supply'!Q104-1)</f>
        <v>0.66486985661574227</v>
      </c>
      <c r="H19" s="75" t="str">
        <f t="shared" si="0"/>
        <v>High</v>
      </c>
      <c r="J19" s="1" t="str">
        <f t="shared" si="1"/>
        <v>Low</v>
      </c>
      <c r="K19" t="s">
        <v>501</v>
      </c>
    </row>
    <row r="20" spans="2:17" ht="15" customHeight="1">
      <c r="B20" s="132"/>
      <c r="C20" s="132" t="s">
        <v>493</v>
      </c>
      <c r="D20" s="132"/>
      <c r="E20" s="132"/>
      <c r="F20" s="74" t="s">
        <v>498</v>
      </c>
      <c r="G20" s="139">
        <f>('Cost of Supply'!Q114/'Cost of Supply'!Q105-1)</f>
        <v>0</v>
      </c>
      <c r="H20" s="75" t="str">
        <f t="shared" si="0"/>
        <v>Nil</v>
      </c>
      <c r="J20" s="1" t="str">
        <f t="shared" si="1"/>
        <v>Nil</v>
      </c>
      <c r="K20" t="s">
        <v>500</v>
      </c>
    </row>
    <row r="21" spans="2:17" ht="15" customHeight="1">
      <c r="B21" s="132"/>
      <c r="C21" s="132" t="s">
        <v>494</v>
      </c>
      <c r="D21" s="132"/>
      <c r="E21" s="132"/>
      <c r="F21" s="74" t="s">
        <v>498</v>
      </c>
      <c r="G21" s="139">
        <f>('Cost of Supply'!Q109/'Cost of Supply'!Q100-1)</f>
        <v>0.28712672311850129</v>
      </c>
      <c r="H21" s="75" t="str">
        <f t="shared" si="0"/>
        <v>High</v>
      </c>
    </row>
    <row r="22" spans="2:17" ht="15" customHeight="1">
      <c r="B22" s="132"/>
      <c r="C22" s="132" t="s">
        <v>495</v>
      </c>
      <c r="D22" s="132"/>
      <c r="E22" s="132"/>
      <c r="F22" s="74" t="s">
        <v>498</v>
      </c>
      <c r="G22" s="139">
        <f>('Cost of Supply'!Q110/'Cost of Supply'!Q101-1)</f>
        <v>0.12700192803998744</v>
      </c>
      <c r="H22" s="75" t="str">
        <f t="shared" si="0"/>
        <v>Medium</v>
      </c>
    </row>
    <row r="23" spans="2:17" ht="15" customHeight="1">
      <c r="B23" s="132"/>
      <c r="C23" s="132" t="s">
        <v>496</v>
      </c>
      <c r="D23" s="132"/>
      <c r="E23" s="132"/>
      <c r="F23" s="74" t="s">
        <v>498</v>
      </c>
      <c r="G23" s="139">
        <f>('Cost of Supply'!Q111/'Cost of Supply'!Q102-1)</f>
        <v>0</v>
      </c>
      <c r="H23" s="75" t="str">
        <f t="shared" si="0"/>
        <v>Nil</v>
      </c>
    </row>
    <row r="24" spans="2:17">
      <c r="B24" s="2"/>
      <c r="C24" s="132"/>
      <c r="D24" s="2"/>
      <c r="E24" s="2"/>
    </row>
    <row r="25" spans="2:17" ht="31.95" customHeight="1">
      <c r="B25" s="81" t="s">
        <v>213</v>
      </c>
      <c r="C25" s="2"/>
      <c r="D25" s="2"/>
      <c r="E25" s="2"/>
      <c r="F25" s="86" t="s">
        <v>214</v>
      </c>
      <c r="G25" s="86" t="s">
        <v>216</v>
      </c>
      <c r="H25" s="86" t="s">
        <v>215</v>
      </c>
    </row>
    <row r="26" spans="2:17">
      <c r="F26" s="82">
        <v>11825</v>
      </c>
      <c r="G26" s="82">
        <f>MIN('Cost of Supply'!Q99:Q103,'Cost of Supply'!Q129,'Cost of Supply'!Q130,'Cost of Supply'!Q131,'Cost of Supply'!Q132)</f>
        <v>12984.945600000001</v>
      </c>
      <c r="H26" s="76">
        <f>G26/F26-1</f>
        <v>9.8092651162790867E-2</v>
      </c>
      <c r="I26" t="s">
        <v>317</v>
      </c>
    </row>
    <row r="27" spans="2:17">
      <c r="F27" s="75"/>
      <c r="G27" s="75"/>
    </row>
    <row r="28" spans="2:17">
      <c r="B28" s="69"/>
      <c r="C28" s="69"/>
      <c r="D28" s="69"/>
      <c r="E28" s="69"/>
      <c r="F28" s="69"/>
      <c r="G28" s="69"/>
      <c r="H28" s="69"/>
      <c r="I28" s="69"/>
      <c r="J28" s="69"/>
      <c r="K28" s="69"/>
      <c r="L28" s="69"/>
      <c r="M28" s="69"/>
      <c r="N28" s="69"/>
      <c r="O28" s="69"/>
      <c r="P28" s="69"/>
      <c r="Q28" s="69"/>
    </row>
  </sheetData>
  <sheetProtection password="CA47" sheet="1" objects="1" scenarios="1"/>
  <mergeCells count="1">
    <mergeCell ref="B15:E15"/>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Coversheet</vt:lpstr>
      <vt:lpstr>Summary</vt:lpstr>
      <vt:lpstr>Water and power req</vt:lpstr>
      <vt:lpstr>Tariffs</vt:lpstr>
      <vt:lpstr>Cost of Supply</vt:lpstr>
      <vt:lpstr>Capital &amp; operating cost solar</vt:lpstr>
      <vt:lpstr>Reliability</vt:lpstr>
      <vt:lpstr>Sensitivity Analysis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LukeLaptop</cp:lastModifiedBy>
  <cp:lastPrinted>2016-11-03T02:29:25Z</cp:lastPrinted>
  <dcterms:created xsi:type="dcterms:W3CDTF">2016-08-22T07:28:04Z</dcterms:created>
  <dcterms:modified xsi:type="dcterms:W3CDTF">2017-04-05T04:20:34Z</dcterms:modified>
</cp:coreProperties>
</file>